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sonj.sharepoint.com/sites/DEPBEPPlanningSection/Shared Documents/Ozone 75 ppb Attain Serious North NNSR/Ozone AD SIP 75 ppb Serious-70 ppb RACT-2017 Inventory/1 SIP Proposal/Appendices/Appendix 4-7 Nonroad 2017 Actual and 2020 Projection/"/>
    </mc:Choice>
  </mc:AlternateContent>
  <xr:revisionPtr revIDLastSave="22" documentId="13_ncr:1_{463F64F5-929B-4339-8AFB-705DAE916307}" xr6:coauthVersionLast="45" xr6:coauthVersionMax="45" xr10:uidLastSave="{C295C05E-390C-4917-AE54-6C6DF832D348}"/>
  <bookViews>
    <workbookView xWindow="-120" yWindow="-120" windowWidth="29040" windowHeight="15840" xr2:uid="{956D76E7-EDDA-4447-90D3-D502563EBA9C}"/>
  </bookViews>
  <sheets>
    <sheet name="Title" sheetId="4" r:id="rId1"/>
    <sheet name="2020 RAIL CTY NAA TPY TPD" sheetId="5" r:id="rId2"/>
    <sheet name="2020 NEI COMPILE 2017-20 CTYSCC" sheetId="2" r:id="rId3"/>
    <sheet name=" NOx CF" sheetId="6" r:id="rId4"/>
    <sheet name=" PM CF" sheetId="7" r:id="rId5"/>
    <sheet name=" HC CF" sheetId="8" r:id="rId6"/>
    <sheet name="Growth &amp; Control Summary" sheetId="12" r:id="rId7"/>
    <sheet name="Sheet11" sheetId="11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2" l="1"/>
  <c r="D20" i="12"/>
  <c r="D19" i="12"/>
  <c r="U16" i="6" l="1"/>
  <c r="V17" i="6" s="1"/>
  <c r="U17" i="6"/>
  <c r="V26" i="7"/>
  <c r="X8" i="2" l="1"/>
  <c r="D34" i="5" s="1"/>
  <c r="X11" i="2"/>
  <c r="D22" i="5" s="1"/>
  <c r="X15" i="2"/>
  <c r="X17" i="2"/>
  <c r="X21" i="2"/>
  <c r="X23" i="2"/>
  <c r="X27" i="2"/>
  <c r="X29" i="2"/>
  <c r="X39" i="2"/>
  <c r="X45" i="2"/>
  <c r="X53" i="2"/>
  <c r="X58" i="2"/>
  <c r="X12" i="2"/>
  <c r="X24" i="2"/>
  <c r="X30" i="2"/>
  <c r="X33" i="2"/>
  <c r="X36" i="2"/>
  <c r="X40" i="2"/>
  <c r="X54" i="2"/>
  <c r="X59" i="2"/>
  <c r="X62" i="2"/>
  <c r="X9" i="2"/>
  <c r="X13" i="2"/>
  <c r="X16" i="2"/>
  <c r="X18" i="2"/>
  <c r="X20" i="2"/>
  <c r="X22" i="2"/>
  <c r="X25" i="2"/>
  <c r="X28" i="2"/>
  <c r="X31" i="2"/>
  <c r="X34" i="2"/>
  <c r="X37" i="2"/>
  <c r="X41" i="2"/>
  <c r="X43" i="2"/>
  <c r="X46" i="2"/>
  <c r="X48" i="2"/>
  <c r="X50" i="2"/>
  <c r="X52" i="2"/>
  <c r="X55" i="2"/>
  <c r="X57" i="2"/>
  <c r="X60" i="2"/>
  <c r="X63" i="2"/>
  <c r="X10" i="2"/>
  <c r="X14" i="2"/>
  <c r="X19" i="2"/>
  <c r="X26" i="2"/>
  <c r="X32" i="2"/>
  <c r="X35" i="2"/>
  <c r="X38" i="2"/>
  <c r="X42" i="2"/>
  <c r="X44" i="2"/>
  <c r="X47" i="2"/>
  <c r="X49" i="2"/>
  <c r="X51" i="2"/>
  <c r="X56" i="2"/>
  <c r="X61" i="2"/>
  <c r="X64" i="2"/>
  <c r="C5" i="12"/>
  <c r="D4" i="12"/>
  <c r="D3" i="12"/>
  <c r="D5" i="12" l="1"/>
  <c r="D6" i="12"/>
  <c r="AE54" i="2"/>
  <c r="AE33" i="2"/>
  <c r="AE22" i="2"/>
  <c r="AD64" i="2"/>
  <c r="AK64" i="2" s="1"/>
  <c r="AC64" i="2"/>
  <c r="AJ64" i="2" s="1"/>
  <c r="AB64" i="2"/>
  <c r="AI64" i="2" s="1"/>
  <c r="AA64" i="2"/>
  <c r="AH64" i="2" s="1"/>
  <c r="Z64" i="2"/>
  <c r="AG64" i="2" s="1"/>
  <c r="Y64" i="2"/>
  <c r="AF64" i="2" s="1"/>
  <c r="AE64" i="2"/>
  <c r="AD63" i="2"/>
  <c r="AK63" i="2" s="1"/>
  <c r="AC63" i="2"/>
  <c r="AJ63" i="2" s="1"/>
  <c r="AB63" i="2"/>
  <c r="AI63" i="2" s="1"/>
  <c r="AA63" i="2"/>
  <c r="AH63" i="2" s="1"/>
  <c r="Z63" i="2"/>
  <c r="AG63" i="2" s="1"/>
  <c r="Y63" i="2"/>
  <c r="AF63" i="2" s="1"/>
  <c r="AE63" i="2"/>
  <c r="AD62" i="2"/>
  <c r="AK62" i="2" s="1"/>
  <c r="AC62" i="2"/>
  <c r="AJ62" i="2" s="1"/>
  <c r="AB62" i="2"/>
  <c r="AI62" i="2" s="1"/>
  <c r="AA62" i="2"/>
  <c r="AH62" i="2" s="1"/>
  <c r="Z62" i="2"/>
  <c r="AG62" i="2" s="1"/>
  <c r="Y62" i="2"/>
  <c r="AF62" i="2" s="1"/>
  <c r="AE62" i="2"/>
  <c r="AD61" i="2"/>
  <c r="AK61" i="2" s="1"/>
  <c r="AC61" i="2"/>
  <c r="AJ61" i="2" s="1"/>
  <c r="AB61" i="2"/>
  <c r="AI61" i="2" s="1"/>
  <c r="AA61" i="2"/>
  <c r="AH61" i="2" s="1"/>
  <c r="Z61" i="2"/>
  <c r="AG61" i="2" s="1"/>
  <c r="Y61" i="2"/>
  <c r="AF61" i="2" s="1"/>
  <c r="AE61" i="2"/>
  <c r="AD60" i="2"/>
  <c r="AK60" i="2" s="1"/>
  <c r="AC60" i="2"/>
  <c r="AJ60" i="2" s="1"/>
  <c r="AB60" i="2"/>
  <c r="AI60" i="2" s="1"/>
  <c r="AA60" i="2"/>
  <c r="AH60" i="2" s="1"/>
  <c r="Z60" i="2"/>
  <c r="AG60" i="2" s="1"/>
  <c r="Y60" i="2"/>
  <c r="AF60" i="2" s="1"/>
  <c r="AE60" i="2"/>
  <c r="AD59" i="2"/>
  <c r="AK59" i="2" s="1"/>
  <c r="AC59" i="2"/>
  <c r="AJ59" i="2" s="1"/>
  <c r="AB59" i="2"/>
  <c r="AI59" i="2" s="1"/>
  <c r="AA59" i="2"/>
  <c r="AH59" i="2" s="1"/>
  <c r="Z59" i="2"/>
  <c r="AG59" i="2" s="1"/>
  <c r="Y59" i="2"/>
  <c r="AF59" i="2" s="1"/>
  <c r="AE59" i="2"/>
  <c r="AD58" i="2"/>
  <c r="AK58" i="2" s="1"/>
  <c r="AC58" i="2"/>
  <c r="AJ58" i="2" s="1"/>
  <c r="AB58" i="2"/>
  <c r="AI58" i="2" s="1"/>
  <c r="AA58" i="2"/>
  <c r="AH58" i="2" s="1"/>
  <c r="Z58" i="2"/>
  <c r="AG58" i="2" s="1"/>
  <c r="Y58" i="2"/>
  <c r="AF58" i="2" s="1"/>
  <c r="AE58" i="2"/>
  <c r="AD57" i="2"/>
  <c r="AK57" i="2" s="1"/>
  <c r="AC57" i="2"/>
  <c r="AJ57" i="2" s="1"/>
  <c r="AB57" i="2"/>
  <c r="AI57" i="2" s="1"/>
  <c r="AA57" i="2"/>
  <c r="AH57" i="2" s="1"/>
  <c r="Z57" i="2"/>
  <c r="AG57" i="2" s="1"/>
  <c r="Y57" i="2"/>
  <c r="AF57" i="2" s="1"/>
  <c r="AE57" i="2"/>
  <c r="AD56" i="2"/>
  <c r="AK56" i="2" s="1"/>
  <c r="AC56" i="2"/>
  <c r="AJ56" i="2" s="1"/>
  <c r="AB56" i="2"/>
  <c r="AI56" i="2" s="1"/>
  <c r="AA56" i="2"/>
  <c r="AH56" i="2" s="1"/>
  <c r="Z56" i="2"/>
  <c r="AG56" i="2" s="1"/>
  <c r="Y56" i="2"/>
  <c r="AF56" i="2" s="1"/>
  <c r="AE56" i="2"/>
  <c r="AD55" i="2"/>
  <c r="AK55" i="2" s="1"/>
  <c r="AC55" i="2"/>
  <c r="AJ55" i="2" s="1"/>
  <c r="AB55" i="2"/>
  <c r="AI55" i="2" s="1"/>
  <c r="AA55" i="2"/>
  <c r="AH55" i="2" s="1"/>
  <c r="Z55" i="2"/>
  <c r="AG55" i="2" s="1"/>
  <c r="Y55" i="2"/>
  <c r="AF55" i="2" s="1"/>
  <c r="AE55" i="2"/>
  <c r="AD54" i="2"/>
  <c r="AK54" i="2" s="1"/>
  <c r="AC54" i="2"/>
  <c r="AJ54" i="2" s="1"/>
  <c r="AB54" i="2"/>
  <c r="AI54" i="2" s="1"/>
  <c r="AA54" i="2"/>
  <c r="AH54" i="2" s="1"/>
  <c r="Z54" i="2"/>
  <c r="AG54" i="2" s="1"/>
  <c r="Y54" i="2"/>
  <c r="AF54" i="2" s="1"/>
  <c r="AD53" i="2"/>
  <c r="AK53" i="2" s="1"/>
  <c r="AC53" i="2"/>
  <c r="AJ53" i="2" s="1"/>
  <c r="AB53" i="2"/>
  <c r="AI53" i="2" s="1"/>
  <c r="AA53" i="2"/>
  <c r="AH53" i="2" s="1"/>
  <c r="Z53" i="2"/>
  <c r="AG53" i="2" s="1"/>
  <c r="Y53" i="2"/>
  <c r="AF53" i="2" s="1"/>
  <c r="AE53" i="2"/>
  <c r="AD52" i="2"/>
  <c r="AK52" i="2" s="1"/>
  <c r="AC52" i="2"/>
  <c r="AJ52" i="2" s="1"/>
  <c r="AB52" i="2"/>
  <c r="AI52" i="2" s="1"/>
  <c r="AA52" i="2"/>
  <c r="AH52" i="2" s="1"/>
  <c r="Z52" i="2"/>
  <c r="AG52" i="2" s="1"/>
  <c r="Y52" i="2"/>
  <c r="AF52" i="2" s="1"/>
  <c r="AE52" i="2"/>
  <c r="AD51" i="2"/>
  <c r="AK51" i="2" s="1"/>
  <c r="AC51" i="2"/>
  <c r="AJ51" i="2" s="1"/>
  <c r="AB51" i="2"/>
  <c r="AI51" i="2" s="1"/>
  <c r="AA51" i="2"/>
  <c r="AH51" i="2" s="1"/>
  <c r="Z51" i="2"/>
  <c r="AG51" i="2" s="1"/>
  <c r="Y51" i="2"/>
  <c r="AF51" i="2" s="1"/>
  <c r="AE51" i="2"/>
  <c r="AD50" i="2"/>
  <c r="AK50" i="2" s="1"/>
  <c r="AC50" i="2"/>
  <c r="AJ50" i="2" s="1"/>
  <c r="AB50" i="2"/>
  <c r="AI50" i="2" s="1"/>
  <c r="AA50" i="2"/>
  <c r="AH50" i="2" s="1"/>
  <c r="Z50" i="2"/>
  <c r="AG50" i="2" s="1"/>
  <c r="Y50" i="2"/>
  <c r="AF50" i="2" s="1"/>
  <c r="AE50" i="2"/>
  <c r="AD49" i="2"/>
  <c r="AK49" i="2" s="1"/>
  <c r="AC49" i="2"/>
  <c r="AJ49" i="2" s="1"/>
  <c r="AB49" i="2"/>
  <c r="AI49" i="2" s="1"/>
  <c r="AA49" i="2"/>
  <c r="AH49" i="2" s="1"/>
  <c r="Z49" i="2"/>
  <c r="AG49" i="2" s="1"/>
  <c r="Y49" i="2"/>
  <c r="AF49" i="2" s="1"/>
  <c r="AE49" i="2"/>
  <c r="AD48" i="2"/>
  <c r="AK48" i="2" s="1"/>
  <c r="AC48" i="2"/>
  <c r="AJ48" i="2" s="1"/>
  <c r="AB48" i="2"/>
  <c r="AI48" i="2" s="1"/>
  <c r="AA48" i="2"/>
  <c r="AH48" i="2" s="1"/>
  <c r="Z48" i="2"/>
  <c r="AG48" i="2" s="1"/>
  <c r="Y48" i="2"/>
  <c r="AF48" i="2" s="1"/>
  <c r="AE48" i="2"/>
  <c r="AD47" i="2"/>
  <c r="AK47" i="2" s="1"/>
  <c r="AC47" i="2"/>
  <c r="AJ47" i="2" s="1"/>
  <c r="AB47" i="2"/>
  <c r="AI47" i="2" s="1"/>
  <c r="AA47" i="2"/>
  <c r="AH47" i="2" s="1"/>
  <c r="Z47" i="2"/>
  <c r="AG47" i="2" s="1"/>
  <c r="Y47" i="2"/>
  <c r="AF47" i="2" s="1"/>
  <c r="AE47" i="2"/>
  <c r="AD46" i="2"/>
  <c r="AK46" i="2" s="1"/>
  <c r="AC46" i="2"/>
  <c r="AJ46" i="2" s="1"/>
  <c r="AB46" i="2"/>
  <c r="AI46" i="2" s="1"/>
  <c r="AA46" i="2"/>
  <c r="AH46" i="2" s="1"/>
  <c r="Z46" i="2"/>
  <c r="AG46" i="2" s="1"/>
  <c r="Y46" i="2"/>
  <c r="AF46" i="2" s="1"/>
  <c r="AE46" i="2"/>
  <c r="AD45" i="2"/>
  <c r="AK45" i="2" s="1"/>
  <c r="AC45" i="2"/>
  <c r="AJ45" i="2" s="1"/>
  <c r="AB45" i="2"/>
  <c r="AI45" i="2" s="1"/>
  <c r="AA45" i="2"/>
  <c r="AH45" i="2" s="1"/>
  <c r="Z45" i="2"/>
  <c r="AG45" i="2" s="1"/>
  <c r="Y45" i="2"/>
  <c r="AF45" i="2" s="1"/>
  <c r="AE45" i="2"/>
  <c r="AD44" i="2"/>
  <c r="AK44" i="2" s="1"/>
  <c r="AC44" i="2"/>
  <c r="AJ44" i="2" s="1"/>
  <c r="AB44" i="2"/>
  <c r="AI44" i="2" s="1"/>
  <c r="AA44" i="2"/>
  <c r="AH44" i="2" s="1"/>
  <c r="Z44" i="2"/>
  <c r="AG44" i="2" s="1"/>
  <c r="Y44" i="2"/>
  <c r="AF44" i="2" s="1"/>
  <c r="AE44" i="2"/>
  <c r="AD43" i="2"/>
  <c r="AK43" i="2" s="1"/>
  <c r="AC43" i="2"/>
  <c r="AJ43" i="2" s="1"/>
  <c r="AB43" i="2"/>
  <c r="AI43" i="2" s="1"/>
  <c r="AA43" i="2"/>
  <c r="AH43" i="2" s="1"/>
  <c r="Z43" i="2"/>
  <c r="AG43" i="2" s="1"/>
  <c r="Y43" i="2"/>
  <c r="AF43" i="2" s="1"/>
  <c r="AE43" i="2"/>
  <c r="AD42" i="2"/>
  <c r="AK42" i="2" s="1"/>
  <c r="AC42" i="2"/>
  <c r="AJ42" i="2" s="1"/>
  <c r="AB42" i="2"/>
  <c r="AI42" i="2" s="1"/>
  <c r="AA42" i="2"/>
  <c r="AH42" i="2" s="1"/>
  <c r="Z42" i="2"/>
  <c r="AG42" i="2" s="1"/>
  <c r="Y42" i="2"/>
  <c r="AF42" i="2" s="1"/>
  <c r="AE42" i="2"/>
  <c r="AD41" i="2"/>
  <c r="AK41" i="2" s="1"/>
  <c r="AC41" i="2"/>
  <c r="AJ41" i="2" s="1"/>
  <c r="AB41" i="2"/>
  <c r="AI41" i="2" s="1"/>
  <c r="AA41" i="2"/>
  <c r="AH41" i="2" s="1"/>
  <c r="Z41" i="2"/>
  <c r="AG41" i="2" s="1"/>
  <c r="Y41" i="2"/>
  <c r="AF41" i="2" s="1"/>
  <c r="AE41" i="2"/>
  <c r="AD40" i="2"/>
  <c r="AK40" i="2" s="1"/>
  <c r="AC40" i="2"/>
  <c r="AJ40" i="2" s="1"/>
  <c r="AB40" i="2"/>
  <c r="AI40" i="2" s="1"/>
  <c r="AA40" i="2"/>
  <c r="AH40" i="2" s="1"/>
  <c r="Z40" i="2"/>
  <c r="AG40" i="2" s="1"/>
  <c r="Y40" i="2"/>
  <c r="AF40" i="2" s="1"/>
  <c r="AE40" i="2"/>
  <c r="AD39" i="2"/>
  <c r="AK39" i="2" s="1"/>
  <c r="AC39" i="2"/>
  <c r="AJ39" i="2" s="1"/>
  <c r="AB39" i="2"/>
  <c r="AI39" i="2" s="1"/>
  <c r="AA39" i="2"/>
  <c r="AH39" i="2" s="1"/>
  <c r="Z39" i="2"/>
  <c r="AG39" i="2" s="1"/>
  <c r="Y39" i="2"/>
  <c r="AF39" i="2" s="1"/>
  <c r="AE39" i="2"/>
  <c r="AD38" i="2"/>
  <c r="AK38" i="2" s="1"/>
  <c r="AC38" i="2"/>
  <c r="AJ38" i="2" s="1"/>
  <c r="AB38" i="2"/>
  <c r="AI38" i="2" s="1"/>
  <c r="AA38" i="2"/>
  <c r="AH38" i="2" s="1"/>
  <c r="Z38" i="2"/>
  <c r="AG38" i="2" s="1"/>
  <c r="Y38" i="2"/>
  <c r="AF38" i="2" s="1"/>
  <c r="AE38" i="2"/>
  <c r="AD37" i="2"/>
  <c r="AK37" i="2" s="1"/>
  <c r="AC37" i="2"/>
  <c r="AJ37" i="2" s="1"/>
  <c r="AB37" i="2"/>
  <c r="AI37" i="2" s="1"/>
  <c r="AA37" i="2"/>
  <c r="AH37" i="2" s="1"/>
  <c r="Z37" i="2"/>
  <c r="AG37" i="2" s="1"/>
  <c r="Y37" i="2"/>
  <c r="AF37" i="2" s="1"/>
  <c r="AE37" i="2"/>
  <c r="AD36" i="2"/>
  <c r="AK36" i="2" s="1"/>
  <c r="AC36" i="2"/>
  <c r="AJ36" i="2" s="1"/>
  <c r="AB36" i="2"/>
  <c r="AI36" i="2" s="1"/>
  <c r="AA36" i="2"/>
  <c r="AH36" i="2" s="1"/>
  <c r="Z36" i="2"/>
  <c r="AG36" i="2" s="1"/>
  <c r="Y36" i="2"/>
  <c r="AF36" i="2" s="1"/>
  <c r="AE36" i="2"/>
  <c r="AD35" i="2"/>
  <c r="AK35" i="2" s="1"/>
  <c r="AC35" i="2"/>
  <c r="AJ35" i="2" s="1"/>
  <c r="AB35" i="2"/>
  <c r="AI35" i="2" s="1"/>
  <c r="AA35" i="2"/>
  <c r="AH35" i="2" s="1"/>
  <c r="Z35" i="2"/>
  <c r="AG35" i="2" s="1"/>
  <c r="Y35" i="2"/>
  <c r="AF35" i="2" s="1"/>
  <c r="AE35" i="2"/>
  <c r="AD34" i="2"/>
  <c r="AK34" i="2" s="1"/>
  <c r="AC34" i="2"/>
  <c r="AJ34" i="2" s="1"/>
  <c r="AB34" i="2"/>
  <c r="AI34" i="2" s="1"/>
  <c r="AA34" i="2"/>
  <c r="AH34" i="2" s="1"/>
  <c r="Z34" i="2"/>
  <c r="AG34" i="2" s="1"/>
  <c r="Y34" i="2"/>
  <c r="AF34" i="2" s="1"/>
  <c r="AE34" i="2"/>
  <c r="AD33" i="2"/>
  <c r="AK33" i="2" s="1"/>
  <c r="AC33" i="2"/>
  <c r="AJ33" i="2" s="1"/>
  <c r="AB33" i="2"/>
  <c r="AI33" i="2" s="1"/>
  <c r="AA33" i="2"/>
  <c r="AH33" i="2" s="1"/>
  <c r="Z33" i="2"/>
  <c r="AG33" i="2" s="1"/>
  <c r="Y33" i="2"/>
  <c r="AF33" i="2" s="1"/>
  <c r="AD32" i="2"/>
  <c r="AK32" i="2" s="1"/>
  <c r="AC32" i="2"/>
  <c r="AJ32" i="2" s="1"/>
  <c r="AB32" i="2"/>
  <c r="AI32" i="2" s="1"/>
  <c r="AA32" i="2"/>
  <c r="AH32" i="2" s="1"/>
  <c r="Z32" i="2"/>
  <c r="AG32" i="2" s="1"/>
  <c r="Y32" i="2"/>
  <c r="AF32" i="2" s="1"/>
  <c r="AE32" i="2"/>
  <c r="AD31" i="2"/>
  <c r="AK31" i="2" s="1"/>
  <c r="AC31" i="2"/>
  <c r="AJ31" i="2" s="1"/>
  <c r="AB31" i="2"/>
  <c r="AI31" i="2" s="1"/>
  <c r="AA31" i="2"/>
  <c r="AH31" i="2" s="1"/>
  <c r="Z31" i="2"/>
  <c r="AG31" i="2" s="1"/>
  <c r="Y31" i="2"/>
  <c r="AF31" i="2" s="1"/>
  <c r="AE31" i="2"/>
  <c r="AD30" i="2"/>
  <c r="AK30" i="2" s="1"/>
  <c r="AC30" i="2"/>
  <c r="AJ30" i="2" s="1"/>
  <c r="AB30" i="2"/>
  <c r="AI30" i="2" s="1"/>
  <c r="AA30" i="2"/>
  <c r="AH30" i="2" s="1"/>
  <c r="Z30" i="2"/>
  <c r="AG30" i="2" s="1"/>
  <c r="Y30" i="2"/>
  <c r="AF30" i="2" s="1"/>
  <c r="AE30" i="2"/>
  <c r="AD29" i="2"/>
  <c r="AK29" i="2" s="1"/>
  <c r="AC29" i="2"/>
  <c r="AJ29" i="2" s="1"/>
  <c r="AB29" i="2"/>
  <c r="AI29" i="2" s="1"/>
  <c r="AA29" i="2"/>
  <c r="AH29" i="2" s="1"/>
  <c r="Z29" i="2"/>
  <c r="AG29" i="2" s="1"/>
  <c r="Y29" i="2"/>
  <c r="AF29" i="2" s="1"/>
  <c r="AE29" i="2"/>
  <c r="AD28" i="2"/>
  <c r="AK28" i="2" s="1"/>
  <c r="AC28" i="2"/>
  <c r="AJ28" i="2" s="1"/>
  <c r="AB28" i="2"/>
  <c r="AI28" i="2" s="1"/>
  <c r="AA28" i="2"/>
  <c r="AH28" i="2" s="1"/>
  <c r="Z28" i="2"/>
  <c r="AG28" i="2" s="1"/>
  <c r="Y28" i="2"/>
  <c r="AF28" i="2" s="1"/>
  <c r="AE28" i="2"/>
  <c r="AD27" i="2"/>
  <c r="AK27" i="2" s="1"/>
  <c r="AC27" i="2"/>
  <c r="AJ27" i="2" s="1"/>
  <c r="AB27" i="2"/>
  <c r="AI27" i="2" s="1"/>
  <c r="AA27" i="2"/>
  <c r="AH27" i="2" s="1"/>
  <c r="Z27" i="2"/>
  <c r="AG27" i="2" s="1"/>
  <c r="Y27" i="2"/>
  <c r="AF27" i="2" s="1"/>
  <c r="AE27" i="2"/>
  <c r="AD26" i="2"/>
  <c r="AK26" i="2" s="1"/>
  <c r="AC26" i="2"/>
  <c r="AJ26" i="2" s="1"/>
  <c r="AB26" i="2"/>
  <c r="AI26" i="2" s="1"/>
  <c r="AA26" i="2"/>
  <c r="AH26" i="2" s="1"/>
  <c r="Z26" i="2"/>
  <c r="AG26" i="2" s="1"/>
  <c r="Y26" i="2"/>
  <c r="AF26" i="2" s="1"/>
  <c r="AE26" i="2"/>
  <c r="AD25" i="2"/>
  <c r="AK25" i="2" s="1"/>
  <c r="AC25" i="2"/>
  <c r="AJ25" i="2" s="1"/>
  <c r="AB25" i="2"/>
  <c r="AI25" i="2" s="1"/>
  <c r="AA25" i="2"/>
  <c r="AH25" i="2" s="1"/>
  <c r="Z25" i="2"/>
  <c r="AG25" i="2" s="1"/>
  <c r="Y25" i="2"/>
  <c r="AF25" i="2" s="1"/>
  <c r="AE25" i="2"/>
  <c r="AD24" i="2"/>
  <c r="AK24" i="2" s="1"/>
  <c r="AC24" i="2"/>
  <c r="AJ24" i="2" s="1"/>
  <c r="AB24" i="2"/>
  <c r="AI24" i="2" s="1"/>
  <c r="AA24" i="2"/>
  <c r="AH24" i="2" s="1"/>
  <c r="Z24" i="2"/>
  <c r="AG24" i="2" s="1"/>
  <c r="Y24" i="2"/>
  <c r="AF24" i="2" s="1"/>
  <c r="AE24" i="2"/>
  <c r="AD23" i="2"/>
  <c r="AK23" i="2" s="1"/>
  <c r="AC23" i="2"/>
  <c r="AJ23" i="2" s="1"/>
  <c r="AB23" i="2"/>
  <c r="AI23" i="2" s="1"/>
  <c r="AA23" i="2"/>
  <c r="AH23" i="2" s="1"/>
  <c r="Z23" i="2"/>
  <c r="AG23" i="2" s="1"/>
  <c r="Y23" i="2"/>
  <c r="AF23" i="2" s="1"/>
  <c r="AE23" i="2"/>
  <c r="AD22" i="2"/>
  <c r="AK22" i="2" s="1"/>
  <c r="AC22" i="2"/>
  <c r="AJ22" i="2" s="1"/>
  <c r="AB22" i="2"/>
  <c r="AI22" i="2" s="1"/>
  <c r="AA22" i="2"/>
  <c r="AH22" i="2" s="1"/>
  <c r="Z22" i="2"/>
  <c r="AG22" i="2" s="1"/>
  <c r="Y22" i="2"/>
  <c r="AF22" i="2" s="1"/>
  <c r="AD21" i="2"/>
  <c r="AK21" i="2" s="1"/>
  <c r="AC21" i="2"/>
  <c r="AJ21" i="2" s="1"/>
  <c r="AB21" i="2"/>
  <c r="AI21" i="2" s="1"/>
  <c r="AA21" i="2"/>
  <c r="AH21" i="2" s="1"/>
  <c r="Z21" i="2"/>
  <c r="AG21" i="2" s="1"/>
  <c r="Y21" i="2"/>
  <c r="AF21" i="2" s="1"/>
  <c r="AE21" i="2"/>
  <c r="AD20" i="2"/>
  <c r="AK20" i="2" s="1"/>
  <c r="AC20" i="2"/>
  <c r="AJ20" i="2" s="1"/>
  <c r="AB20" i="2"/>
  <c r="AI20" i="2" s="1"/>
  <c r="AA20" i="2"/>
  <c r="AH20" i="2" s="1"/>
  <c r="Z20" i="2"/>
  <c r="AG20" i="2" s="1"/>
  <c r="Y20" i="2"/>
  <c r="AF20" i="2" s="1"/>
  <c r="AE20" i="2"/>
  <c r="AD19" i="2"/>
  <c r="AK19" i="2" s="1"/>
  <c r="AC19" i="2"/>
  <c r="AJ19" i="2" s="1"/>
  <c r="AB19" i="2"/>
  <c r="AI19" i="2" s="1"/>
  <c r="AA19" i="2"/>
  <c r="AH19" i="2" s="1"/>
  <c r="Z19" i="2"/>
  <c r="AG19" i="2" s="1"/>
  <c r="Y19" i="2"/>
  <c r="AF19" i="2" s="1"/>
  <c r="AE19" i="2"/>
  <c r="AD18" i="2"/>
  <c r="AK18" i="2" s="1"/>
  <c r="AC18" i="2"/>
  <c r="AJ18" i="2" s="1"/>
  <c r="AB18" i="2"/>
  <c r="AI18" i="2" s="1"/>
  <c r="AA18" i="2"/>
  <c r="AH18" i="2" s="1"/>
  <c r="Z18" i="2"/>
  <c r="AG18" i="2" s="1"/>
  <c r="Y18" i="2"/>
  <c r="AF18" i="2" s="1"/>
  <c r="AE18" i="2"/>
  <c r="AD17" i="2"/>
  <c r="AK17" i="2" s="1"/>
  <c r="AC17" i="2"/>
  <c r="AJ17" i="2" s="1"/>
  <c r="AB17" i="2"/>
  <c r="AI17" i="2" s="1"/>
  <c r="AA17" i="2"/>
  <c r="AH17" i="2" s="1"/>
  <c r="Z17" i="2"/>
  <c r="AG17" i="2" s="1"/>
  <c r="Y17" i="2"/>
  <c r="AF17" i="2" s="1"/>
  <c r="AE17" i="2"/>
  <c r="AD16" i="2"/>
  <c r="AK16" i="2" s="1"/>
  <c r="AC16" i="2"/>
  <c r="AJ16" i="2" s="1"/>
  <c r="AB16" i="2"/>
  <c r="AI16" i="2" s="1"/>
  <c r="AA16" i="2"/>
  <c r="AH16" i="2" s="1"/>
  <c r="Z16" i="2"/>
  <c r="AG16" i="2" s="1"/>
  <c r="Y16" i="2"/>
  <c r="AF16" i="2" s="1"/>
  <c r="AE16" i="2"/>
  <c r="AD15" i="2"/>
  <c r="AK15" i="2" s="1"/>
  <c r="AC15" i="2"/>
  <c r="AJ15" i="2" s="1"/>
  <c r="AB15" i="2"/>
  <c r="AI15" i="2" s="1"/>
  <c r="AA15" i="2"/>
  <c r="AH15" i="2" s="1"/>
  <c r="Z15" i="2"/>
  <c r="AG15" i="2" s="1"/>
  <c r="Y15" i="2"/>
  <c r="AF15" i="2" s="1"/>
  <c r="AE15" i="2"/>
  <c r="AD14" i="2"/>
  <c r="AK14" i="2" s="1"/>
  <c r="AC14" i="2"/>
  <c r="AJ14" i="2" s="1"/>
  <c r="AB14" i="2"/>
  <c r="AI14" i="2" s="1"/>
  <c r="AA14" i="2"/>
  <c r="AH14" i="2" s="1"/>
  <c r="Z14" i="2"/>
  <c r="AG14" i="2" s="1"/>
  <c r="Y14" i="2"/>
  <c r="AF14" i="2" s="1"/>
  <c r="AE14" i="2"/>
  <c r="AD13" i="2"/>
  <c r="AK13" i="2" s="1"/>
  <c r="AC13" i="2"/>
  <c r="AJ13" i="2" s="1"/>
  <c r="AB13" i="2"/>
  <c r="AI13" i="2" s="1"/>
  <c r="AA13" i="2"/>
  <c r="AH13" i="2" s="1"/>
  <c r="Z13" i="2"/>
  <c r="AG13" i="2" s="1"/>
  <c r="Y13" i="2"/>
  <c r="AF13" i="2" s="1"/>
  <c r="AE13" i="2"/>
  <c r="AD12" i="2"/>
  <c r="AK12" i="2" s="1"/>
  <c r="AC12" i="2"/>
  <c r="AJ12" i="2" s="1"/>
  <c r="AB12" i="2"/>
  <c r="AI12" i="2" s="1"/>
  <c r="AA12" i="2"/>
  <c r="AH12" i="2" s="1"/>
  <c r="Z12" i="2"/>
  <c r="AG12" i="2" s="1"/>
  <c r="Y12" i="2"/>
  <c r="AF12" i="2" s="1"/>
  <c r="AE12" i="2"/>
  <c r="AD11" i="2"/>
  <c r="AC11" i="2"/>
  <c r="AB11" i="2"/>
  <c r="AA11" i="2"/>
  <c r="Z11" i="2"/>
  <c r="Y11" i="2"/>
  <c r="AE11" i="2"/>
  <c r="AD10" i="2"/>
  <c r="AK10" i="2" s="1"/>
  <c r="AC10" i="2"/>
  <c r="AJ10" i="2" s="1"/>
  <c r="AB10" i="2"/>
  <c r="AI10" i="2" s="1"/>
  <c r="AA10" i="2"/>
  <c r="AH10" i="2" s="1"/>
  <c r="Z10" i="2"/>
  <c r="AG10" i="2" s="1"/>
  <c r="Y10" i="2"/>
  <c r="AF10" i="2" s="1"/>
  <c r="AE10" i="2"/>
  <c r="AD9" i="2"/>
  <c r="AK9" i="2" s="1"/>
  <c r="AC9" i="2"/>
  <c r="AJ9" i="2" s="1"/>
  <c r="AB9" i="2"/>
  <c r="AI9" i="2" s="1"/>
  <c r="AA9" i="2"/>
  <c r="AH9" i="2" s="1"/>
  <c r="Z9" i="2"/>
  <c r="AG9" i="2" s="1"/>
  <c r="Y9" i="2"/>
  <c r="AF9" i="2" s="1"/>
  <c r="AE9" i="2"/>
  <c r="AD8" i="2"/>
  <c r="AC8" i="2"/>
  <c r="AB8" i="2"/>
  <c r="AA8" i="2"/>
  <c r="Z8" i="2"/>
  <c r="Y8" i="2"/>
  <c r="AE8" i="2"/>
  <c r="U23" i="8"/>
  <c r="V23" i="8" s="1"/>
  <c r="U22" i="8"/>
  <c r="V24" i="7"/>
  <c r="W24" i="7" s="1"/>
  <c r="X24" i="7" s="1"/>
  <c r="V23" i="7"/>
  <c r="V24" i="8" l="1"/>
  <c r="W23" i="8"/>
  <c r="AE65" i="2"/>
  <c r="AJ8" i="2"/>
  <c r="I34" i="5"/>
  <c r="AK8" i="2"/>
  <c r="J34" i="5"/>
  <c r="AF8" i="2"/>
  <c r="AF65" i="2" s="1"/>
  <c r="E34" i="5"/>
  <c r="H22" i="5"/>
  <c r="AG8" i="2"/>
  <c r="F34" i="5"/>
  <c r="AJ11" i="2"/>
  <c r="I22" i="5"/>
  <c r="AH8" i="2"/>
  <c r="G34" i="5"/>
  <c r="J7" i="5"/>
  <c r="J22" i="5"/>
  <c r="AI8" i="2"/>
  <c r="H34" i="5"/>
  <c r="E22" i="5"/>
  <c r="AG11" i="2"/>
  <c r="F22" i="5"/>
  <c r="G7" i="5"/>
  <c r="G22" i="5"/>
  <c r="E7" i="5"/>
  <c r="F7" i="5"/>
  <c r="AF11" i="2"/>
  <c r="H7" i="5"/>
  <c r="I7" i="5"/>
  <c r="AH11" i="2"/>
  <c r="AI11" i="2"/>
  <c r="AK11" i="2"/>
  <c r="D7" i="5"/>
  <c r="AK65" i="2" l="1"/>
  <c r="AJ65" i="2"/>
  <c r="AI65" i="2"/>
  <c r="AG65" i="2"/>
  <c r="AH65" i="2"/>
  <c r="J32" i="5" l="1"/>
  <c r="I32" i="5"/>
  <c r="H32" i="5"/>
  <c r="G32" i="5"/>
  <c r="F32" i="5"/>
  <c r="E32" i="5"/>
  <c r="J20" i="5"/>
  <c r="I20" i="5"/>
  <c r="H20" i="5"/>
  <c r="G20" i="5"/>
  <c r="F20" i="5"/>
  <c r="E20" i="5"/>
  <c r="D20" i="5"/>
  <c r="D32" i="5"/>
  <c r="Q31" i="5"/>
  <c r="P31" i="5"/>
  <c r="O31" i="5"/>
  <c r="N31" i="5"/>
  <c r="M31" i="5"/>
  <c r="L31" i="5"/>
  <c r="K31" i="5"/>
  <c r="Q30" i="5"/>
  <c r="P30" i="5"/>
  <c r="O30" i="5"/>
  <c r="N30" i="5"/>
  <c r="M30" i="5"/>
  <c r="L30" i="5"/>
  <c r="K30" i="5"/>
  <c r="Q29" i="5"/>
  <c r="P29" i="5"/>
  <c r="O29" i="5"/>
  <c r="N29" i="5"/>
  <c r="M29" i="5"/>
  <c r="L29" i="5"/>
  <c r="K29" i="5"/>
  <c r="Q28" i="5"/>
  <c r="P28" i="5"/>
  <c r="O28" i="5"/>
  <c r="N28" i="5"/>
  <c r="M28" i="5"/>
  <c r="L28" i="5"/>
  <c r="K28" i="5"/>
  <c r="Q27" i="5"/>
  <c r="P27" i="5"/>
  <c r="O27" i="5"/>
  <c r="N27" i="5"/>
  <c r="M27" i="5"/>
  <c r="L27" i="5"/>
  <c r="K27" i="5"/>
  <c r="Q26" i="5"/>
  <c r="P26" i="5"/>
  <c r="O26" i="5"/>
  <c r="N26" i="5"/>
  <c r="M26" i="5"/>
  <c r="L26" i="5"/>
  <c r="K26" i="5"/>
  <c r="Q25" i="5"/>
  <c r="P25" i="5"/>
  <c r="O25" i="5"/>
  <c r="N25" i="5"/>
  <c r="M25" i="5"/>
  <c r="L25" i="5"/>
  <c r="K25" i="5"/>
  <c r="Q24" i="5"/>
  <c r="P24" i="5"/>
  <c r="O24" i="5"/>
  <c r="N24" i="5"/>
  <c r="M24" i="5"/>
  <c r="L24" i="5"/>
  <c r="K24" i="5"/>
  <c r="Q23" i="5"/>
  <c r="P23" i="5"/>
  <c r="O23" i="5"/>
  <c r="N23" i="5"/>
  <c r="M23" i="5"/>
  <c r="L23" i="5"/>
  <c r="K23" i="5"/>
  <c r="Q19" i="5"/>
  <c r="P19" i="5"/>
  <c r="O19" i="5"/>
  <c r="N19" i="5"/>
  <c r="M19" i="5"/>
  <c r="L19" i="5"/>
  <c r="K19" i="5"/>
  <c r="Q18" i="5"/>
  <c r="P18" i="5"/>
  <c r="O18" i="5"/>
  <c r="N18" i="5"/>
  <c r="M18" i="5"/>
  <c r="L18" i="5"/>
  <c r="K18" i="5"/>
  <c r="Q17" i="5"/>
  <c r="P17" i="5"/>
  <c r="O17" i="5"/>
  <c r="N17" i="5"/>
  <c r="M17" i="5"/>
  <c r="L17" i="5"/>
  <c r="K17" i="5"/>
  <c r="Q16" i="5"/>
  <c r="P16" i="5"/>
  <c r="O16" i="5"/>
  <c r="N16" i="5"/>
  <c r="M16" i="5"/>
  <c r="L16" i="5"/>
  <c r="K16" i="5"/>
  <c r="Q15" i="5"/>
  <c r="P15" i="5"/>
  <c r="O15" i="5"/>
  <c r="N15" i="5"/>
  <c r="M15" i="5"/>
  <c r="L15" i="5"/>
  <c r="K15" i="5"/>
  <c r="Q14" i="5"/>
  <c r="P14" i="5"/>
  <c r="O14" i="5"/>
  <c r="N14" i="5"/>
  <c r="M14" i="5"/>
  <c r="L14" i="5"/>
  <c r="K14" i="5"/>
  <c r="Q13" i="5"/>
  <c r="P13" i="5"/>
  <c r="O13" i="5"/>
  <c r="N13" i="5"/>
  <c r="M13" i="5"/>
  <c r="L13" i="5"/>
  <c r="K13" i="5"/>
  <c r="Q12" i="5"/>
  <c r="P12" i="5"/>
  <c r="O12" i="5"/>
  <c r="N12" i="5"/>
  <c r="M12" i="5"/>
  <c r="L12" i="5"/>
  <c r="K12" i="5"/>
  <c r="Q11" i="5"/>
  <c r="P11" i="5"/>
  <c r="O11" i="5"/>
  <c r="N11" i="5"/>
  <c r="M11" i="5"/>
  <c r="L11" i="5"/>
  <c r="K11" i="5"/>
  <c r="Q10" i="5"/>
  <c r="P10" i="5"/>
  <c r="O10" i="5"/>
  <c r="N10" i="5"/>
  <c r="M10" i="5"/>
  <c r="L10" i="5"/>
  <c r="K10" i="5"/>
  <c r="Q9" i="5"/>
  <c r="P9" i="5"/>
  <c r="O9" i="5"/>
  <c r="N9" i="5"/>
  <c r="M9" i="5"/>
  <c r="L9" i="5"/>
  <c r="K9" i="5"/>
  <c r="Q8" i="5"/>
  <c r="P8" i="5"/>
  <c r="O8" i="5"/>
  <c r="N8" i="5"/>
  <c r="M8" i="5"/>
  <c r="L8" i="5"/>
  <c r="K8" i="5"/>
  <c r="D33" i="5" l="1"/>
  <c r="O20" i="5"/>
  <c r="L32" i="5"/>
  <c r="M32" i="5"/>
  <c r="L20" i="5"/>
  <c r="K32" i="5"/>
  <c r="O32" i="5"/>
  <c r="P32" i="5"/>
  <c r="Q32" i="5"/>
  <c r="N32" i="5"/>
  <c r="M20" i="5"/>
  <c r="N20" i="5"/>
  <c r="P20" i="5"/>
  <c r="K20" i="5"/>
  <c r="Q20" i="5"/>
  <c r="F33" i="5"/>
  <c r="I33" i="5"/>
  <c r="J33" i="5"/>
  <c r="E33" i="5"/>
  <c r="G33" i="5"/>
  <c r="H33" i="5"/>
  <c r="O33" i="5" l="1"/>
  <c r="K33" i="5"/>
  <c r="M33" i="5"/>
  <c r="L33" i="5"/>
  <c r="P33" i="5"/>
  <c r="N33" i="5"/>
  <c r="Q33" i="5"/>
</calcChain>
</file>

<file path=xl/sharedStrings.xml><?xml version="1.0" encoding="utf-8"?>
<sst xmlns="http://schemas.openxmlformats.org/spreadsheetml/2006/main" count="769" uniqueCount="176">
  <si>
    <t>LOCOMOTIVES</t>
  </si>
  <si>
    <t>state</t>
  </si>
  <si>
    <t>fips state code</t>
  </si>
  <si>
    <t>tribal name</t>
  </si>
  <si>
    <t>county</t>
  </si>
  <si>
    <t>data category</t>
  </si>
  <si>
    <t>NJ</t>
  </si>
  <si>
    <t>Atlantic</t>
  </si>
  <si>
    <t>NP</t>
  </si>
  <si>
    <t>NH3</t>
  </si>
  <si>
    <t>TON</t>
  </si>
  <si>
    <t>2017ERTAC_Rail</t>
  </si>
  <si>
    <t>PM10-PRI</t>
  </si>
  <si>
    <t>Burlington</t>
  </si>
  <si>
    <t>PM25-PRI</t>
  </si>
  <si>
    <t>Camden</t>
  </si>
  <si>
    <t>Cumberland</t>
  </si>
  <si>
    <t>Essex</t>
  </si>
  <si>
    <t>VOC</t>
  </si>
  <si>
    <t>Gloucester</t>
  </si>
  <si>
    <t>SO2</t>
  </si>
  <si>
    <t>Hudson</t>
  </si>
  <si>
    <t>Mercer</t>
  </si>
  <si>
    <t>NOX</t>
  </si>
  <si>
    <t>CO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</si>
  <si>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</si>
  <si>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</si>
  <si>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</si>
  <si>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</si>
  <si>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</si>
  <si>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</si>
  <si>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</si>
  <si>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</si>
  <si>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</si>
  <si>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</si>
  <si>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Bergen</t>
  </si>
  <si>
    <t>P</t>
  </si>
  <si>
    <t>Hunterdon</t>
  </si>
  <si>
    <t>Cape May</t>
  </si>
  <si>
    <r>
      <t>ANNUAL AND AVERAGE SUMMER DAY EMISSIONS BY COUNTY AND SCC TONSPERYEAR (TPY) AND TONSPERDAY (TPD)</t>
    </r>
    <r>
      <rPr>
        <b/>
        <sz val="10"/>
        <color indexed="8"/>
        <rFont val="Arial"/>
        <family val="2"/>
      </rPr>
      <t xml:space="preserve"> </t>
    </r>
  </si>
  <si>
    <t>STCNTYFIPS</t>
  </si>
  <si>
    <t>SCC</t>
  </si>
  <si>
    <t>scc level one</t>
  </si>
  <si>
    <t>scc level two</t>
  </si>
  <si>
    <t>scc level three</t>
  </si>
  <si>
    <t>scc level four</t>
  </si>
  <si>
    <t>sector</t>
  </si>
  <si>
    <t>WEIGHT</t>
  </si>
  <si>
    <t>SOURCE</t>
  </si>
  <si>
    <t>Mobile Sources</t>
  </si>
  <si>
    <t>Railroad Equipment</t>
  </si>
  <si>
    <t>Diesel</t>
  </si>
  <si>
    <t>Yard Locomotives</t>
  </si>
  <si>
    <t>Mobile - Locomotives</t>
  </si>
  <si>
    <t>Line Haul Locomotives: Class II / III Operations</t>
  </si>
  <si>
    <t>Line Haul Locomotives: Commuter Lines</t>
  </si>
  <si>
    <t>Line Haul Locomotives: Class I Operations</t>
  </si>
  <si>
    <r>
      <t>ANNUAL AND SUMMER WEEKDAY EMISSIONS BY O3 NAA AND CTY TONSPERYEAR (TPY) AND TONSPERDAY (TPD)</t>
    </r>
    <r>
      <rPr>
        <b/>
        <sz val="10"/>
        <color indexed="8"/>
        <rFont val="Arial"/>
        <family val="2"/>
      </rPr>
      <t xml:space="preserve"> </t>
    </r>
  </si>
  <si>
    <t>O3 AQCR</t>
  </si>
  <si>
    <t>COUNTY</t>
  </si>
  <si>
    <t>VOC_TPY</t>
  </si>
  <si>
    <t>NOx_TPY</t>
  </si>
  <si>
    <t>CO_TPY</t>
  </si>
  <si>
    <t>PM10_TPY</t>
  </si>
  <si>
    <t>PM2.5 _TPY</t>
  </si>
  <si>
    <t>SO2_TPY</t>
  </si>
  <si>
    <t>NH3_TPY</t>
  </si>
  <si>
    <t>VOC_TPD</t>
  </si>
  <si>
    <t>NOx_TPD</t>
  </si>
  <si>
    <t>CO_TPD</t>
  </si>
  <si>
    <t>PM10_TPD</t>
  </si>
  <si>
    <t>PM2.5 _TPD</t>
  </si>
  <si>
    <t>SO2_TPD</t>
  </si>
  <si>
    <t>NH3_TPD</t>
  </si>
  <si>
    <t>NNJ-NY-Conn</t>
  </si>
  <si>
    <t>34003</t>
  </si>
  <si>
    <t>34013</t>
  </si>
  <si>
    <t>34017</t>
  </si>
  <si>
    <t>34019</t>
  </si>
  <si>
    <t xml:space="preserve">Middlesex </t>
  </si>
  <si>
    <t>34023</t>
  </si>
  <si>
    <t>34025</t>
  </si>
  <si>
    <t>34027</t>
  </si>
  <si>
    <t>34031</t>
  </si>
  <si>
    <t>34035</t>
  </si>
  <si>
    <t>34037</t>
  </si>
  <si>
    <t>34039</t>
  </si>
  <si>
    <t>34041</t>
  </si>
  <si>
    <t>TOT NNJ-NY-Conn O3 AQCR Pop &amp; Emissions</t>
  </si>
  <si>
    <t>SNJ-Phil</t>
  </si>
  <si>
    <t>ATLANTIC</t>
  </si>
  <si>
    <t>34001</t>
  </si>
  <si>
    <t>BURLINGTON</t>
  </si>
  <si>
    <t>34005</t>
  </si>
  <si>
    <t>CAMDEN</t>
  </si>
  <si>
    <t>34007</t>
  </si>
  <si>
    <t>CAPE MAY</t>
  </si>
  <si>
    <t>34009</t>
  </si>
  <si>
    <t>CUMBERLAND</t>
  </si>
  <si>
    <t>34011</t>
  </si>
  <si>
    <t>GLOUCESTER</t>
  </si>
  <si>
    <t>34015</t>
  </si>
  <si>
    <t>MERCER</t>
  </si>
  <si>
    <t>34021</t>
  </si>
  <si>
    <t>OCEAN</t>
  </si>
  <si>
    <t>34029</t>
  </si>
  <si>
    <t>SALEM</t>
  </si>
  <si>
    <t>34033</t>
  </si>
  <si>
    <t>TOTAL SNJ-PHIL O3 AQCR Pop $ Emissions</t>
  </si>
  <si>
    <t>TOTAL NJ EMISSIONS</t>
  </si>
  <si>
    <t>The State of New Jersey</t>
  </si>
  <si>
    <t>Department of Environmental Protection</t>
  </si>
  <si>
    <t>Railroad (Locomotive) Inventory</t>
  </si>
  <si>
    <t>Volatile Organic Compouds (VOC), Nitrogen Oxide (NOx) and Carbon Monoxide (CO)</t>
  </si>
  <si>
    <t>Annual &amp; Average Summer Weekday  Emissions</t>
  </si>
  <si>
    <t>for Northern New Jersey</t>
  </si>
  <si>
    <t>Year</t>
  </si>
  <si>
    <t xml:space="preserve">OTAQ L-H NOx </t>
  </si>
  <si>
    <t>ERTAC L-H NOx</t>
  </si>
  <si>
    <t>grams/gallon</t>
  </si>
  <si>
    <t>OTAQ L-H PM10</t>
  </si>
  <si>
    <t>ERTAC L-H PM10</t>
  </si>
  <si>
    <t>OTAQ L-H HC</t>
  </si>
  <si>
    <t>ERTAC L-H HC</t>
  </si>
  <si>
    <t>PM10</t>
  </si>
  <si>
    <t>HC</t>
  </si>
  <si>
    <t>GF</t>
  </si>
  <si>
    <t>Nox_CF</t>
  </si>
  <si>
    <t>PM10_CF</t>
  </si>
  <si>
    <t>HC_CF</t>
  </si>
  <si>
    <t>2020 Projection Year Inventory</t>
  </si>
  <si>
    <t>Controlled 2020</t>
  </si>
  <si>
    <t>CO_2020</t>
  </si>
  <si>
    <t>NH3_2020</t>
  </si>
  <si>
    <t>NOX_2020</t>
  </si>
  <si>
    <t>PM10-PRI_2020</t>
  </si>
  <si>
    <t>PM25-PRI_2020</t>
  </si>
  <si>
    <t>SO2_2020</t>
  </si>
  <si>
    <t>VOC_2020</t>
  </si>
  <si>
    <t>CO_2017</t>
  </si>
  <si>
    <t>NH3_2017</t>
  </si>
  <si>
    <t>NOX_2017</t>
  </si>
  <si>
    <t>PM10-PRI_2017</t>
  </si>
  <si>
    <t>PM25-PRI_2017</t>
  </si>
  <si>
    <t>SO2_2017</t>
  </si>
  <si>
    <t>VOC_2017</t>
  </si>
  <si>
    <t>CONTROLLED 2020</t>
  </si>
  <si>
    <t>CONTROLLED 2017 and 2020</t>
  </si>
  <si>
    <t>2017 to 2020</t>
  </si>
  <si>
    <t>2017 TPY</t>
  </si>
  <si>
    <t>2020 TPY</t>
  </si>
  <si>
    <t>2020 TPD</t>
  </si>
  <si>
    <t>Table 4: OTAQ vs. ERTAC Rail Line-haul Nox EF Projections (gram/gal)</t>
  </si>
  <si>
    <t>Table 5: OTAQ vs. ERTAC Rail Line-haul Nox EF Projections (gram/gal)</t>
  </si>
  <si>
    <t>CSX</t>
  </si>
  <si>
    <t>NS</t>
  </si>
  <si>
    <t>GWTH factor 2017 to 2020</t>
  </si>
  <si>
    <t>commuter rail</t>
  </si>
  <si>
    <t>Nox</t>
  </si>
  <si>
    <t>[1] STB R-1 reports. Available at: http://www.stb.dot.gov/stb/industry/econ_reports.html</t>
  </si>
  <si>
    <t>(2) Emissions Modeling Platform Collaborative: 2016v1 Rail Sources, May 6, 2020, page 4</t>
  </si>
  <si>
    <t>CF</t>
  </si>
  <si>
    <t>(3)Emission Modeling Platform Collaborative: 2016v1 Rail Sources, Table 16. ERTAC Projected Fuel Use Data by Class I Railroad for 2020, 2023, and 2028, page 27</t>
  </si>
  <si>
    <t xml:space="preserve">(4) Assume that ERTAC projected fuel use data by class I CSX and NS railroads represents the growth for both class 2,3 and yard railroads that depend on these railroads for their operations.                                                                                                                                                                                                                                           </t>
  </si>
  <si>
    <t>Adjusted 2017</t>
  </si>
  <si>
    <t>(5)Emission Modeling Platform Collaborative: 2016v1 Rail Sources, Table 18. AEO growth rates for Rail Sub-groups, page 28</t>
  </si>
  <si>
    <t>(7) Assume these CF apply to all railroad types.</t>
  </si>
  <si>
    <t>(6)Emission Modeling Platform Collaborative: 2016v1 Rail Sources, Emission Factor Projections, pages 25 to 27, Figure 9, 10 and 11, Epa 2009) versus ERTAC Rail Emission Factor Projections.</t>
  </si>
  <si>
    <t>TABLE 2</t>
  </si>
  <si>
    <t>2017 BASE AND 2020 PROJECTED EMISSION INVENTORIES</t>
  </si>
  <si>
    <t>TABLE 1</t>
  </si>
  <si>
    <t>Table 3: OTAQ vs. ERTAC Rail Line-haul Nox EF Projections (gram/gal)</t>
  </si>
  <si>
    <r>
      <t>Table 6A: Growth factors for linehaul Class 1, 2&amp;3 and Yard Locomotives</t>
    </r>
    <r>
      <rPr>
        <b/>
        <vertAlign val="superscript"/>
        <sz val="11"/>
        <color theme="1"/>
        <rFont val="Calibri"/>
        <family val="2"/>
        <scheme val="minor"/>
      </rPr>
      <t>1,2,3 &amp;4</t>
    </r>
  </si>
  <si>
    <r>
      <t>Table 6B: Commuter Rail Growth factor</t>
    </r>
    <r>
      <rPr>
        <b/>
        <vertAlign val="superscript"/>
        <sz val="11"/>
        <color theme="1"/>
        <rFont val="Calibri"/>
        <family val="2"/>
        <scheme val="minor"/>
      </rPr>
      <t>5</t>
    </r>
  </si>
  <si>
    <r>
      <t>Table 6C: OTAQ vs. ERTAC Rail Line-haul EF Projections (gram/gal) Calculate Control Factor (CF) from 2017 to 2020</t>
    </r>
    <r>
      <rPr>
        <b/>
        <vertAlign val="superscript"/>
        <sz val="11"/>
        <color theme="1"/>
        <rFont val="Calibri"/>
        <family val="2"/>
        <scheme val="minor"/>
      </rPr>
      <t>6,7</t>
    </r>
  </si>
  <si>
    <t>2020 Nonroad Sources Emission Inventory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</si>
</sst>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0.0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0" fontId="10" fillId="0" borderId="0" applyNumberForma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Border="1" applyAlignme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7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7" fillId="0" borderId="18" xfId="0" applyFont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0" xfId="0" applyBorder="1"/>
    <xf numFmtId="0" fontId="7" fillId="0" borderId="23" xfId="0" applyFont="1" applyBorder="1" applyAlignment="1">
      <alignment wrapText="1"/>
    </xf>
    <xf numFmtId="0" fontId="0" fillId="0" borderId="23" xfId="0" applyBorder="1"/>
    <xf numFmtId="4" fontId="0" fillId="0" borderId="24" xfId="0" applyNumberFormat="1" applyBorder="1"/>
    <xf numFmtId="0" fontId="0" fillId="0" borderId="25" xfId="0" applyBorder="1"/>
    <xf numFmtId="0" fontId="0" fillId="0" borderId="24" xfId="0" applyBorder="1"/>
    <xf numFmtId="0" fontId="0" fillId="0" borderId="1" xfId="0" quotePrefix="1" applyBorder="1"/>
    <xf numFmtId="0" fontId="8" fillId="0" borderId="2" xfId="0" applyFont="1" applyBorder="1"/>
    <xf numFmtId="0" fontId="0" fillId="0" borderId="7" xfId="0" quotePrefix="1" applyBorder="1"/>
    <xf numFmtId="0" fontId="8" fillId="0" borderId="8" xfId="0" applyFont="1" applyBorder="1"/>
    <xf numFmtId="0" fontId="8" fillId="0" borderId="7" xfId="0" quotePrefix="1" applyFont="1" applyBorder="1"/>
    <xf numFmtId="0" fontId="8" fillId="0" borderId="13" xfId="0" applyFont="1" applyBorder="1"/>
    <xf numFmtId="0" fontId="8" fillId="0" borderId="18" xfId="0" applyFont="1" applyBorder="1"/>
    <xf numFmtId="0" fontId="7" fillId="0" borderId="8" xfId="0" applyFont="1" applyBorder="1" applyAlignment="1">
      <alignment wrapText="1"/>
    </xf>
    <xf numFmtId="0" fontId="0" fillId="0" borderId="32" xfId="0" applyBorder="1"/>
    <xf numFmtId="0" fontId="8" fillId="0" borderId="32" xfId="0" applyFont="1" applyBorder="1"/>
    <xf numFmtId="0" fontId="0" fillId="0" borderId="29" xfId="0" applyBorder="1"/>
    <xf numFmtId="0" fontId="8" fillId="0" borderId="29" xfId="0" applyFont="1" applyBorder="1"/>
    <xf numFmtId="0" fontId="0" fillId="0" borderId="0" xfId="0" applyFill="1" applyBorder="1"/>
    <xf numFmtId="3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15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9" fillId="0" borderId="0" xfId="0" applyFont="1"/>
    <xf numFmtId="0" fontId="0" fillId="0" borderId="28" xfId="0" applyBorder="1"/>
    <xf numFmtId="0" fontId="6" fillId="0" borderId="25" xfId="0" applyFont="1" applyBorder="1"/>
    <xf numFmtId="0" fontId="4" fillId="0" borderId="18" xfId="0" applyFont="1" applyBorder="1"/>
    <xf numFmtId="0" fontId="9" fillId="0" borderId="8" xfId="1" applyFont="1" applyBorder="1"/>
    <xf numFmtId="0" fontId="4" fillId="0" borderId="19" xfId="0" applyFont="1" applyBorder="1"/>
    <xf numFmtId="0" fontId="0" fillId="0" borderId="17" xfId="0" applyBorder="1"/>
    <xf numFmtId="0" fontId="0" fillId="0" borderId="35" xfId="0" applyBorder="1"/>
    <xf numFmtId="0" fontId="0" fillId="0" borderId="40" xfId="0" applyFill="1" applyBorder="1"/>
    <xf numFmtId="2" fontId="0" fillId="0" borderId="0" xfId="0" applyNumberFormat="1" applyFill="1" applyBorder="1"/>
    <xf numFmtId="165" fontId="0" fillId="0" borderId="24" xfId="0" applyNumberFormat="1" applyBorder="1"/>
    <xf numFmtId="165" fontId="0" fillId="0" borderId="2" xfId="0" applyNumberFormat="1" applyBorder="1"/>
    <xf numFmtId="165" fontId="0" fillId="0" borderId="9" xfId="0" applyNumberFormat="1" applyBorder="1"/>
    <xf numFmtId="165" fontId="0" fillId="0" borderId="21" xfId="0" applyNumberFormat="1" applyBorder="1"/>
    <xf numFmtId="165" fontId="0" fillId="0" borderId="23" xfId="0" applyNumberFormat="1" applyBorder="1"/>
    <xf numFmtId="165" fontId="0" fillId="0" borderId="26" xfId="0" applyNumberFormat="1" applyBorder="1"/>
    <xf numFmtId="165" fontId="0" fillId="0" borderId="8" xfId="0" applyNumberFormat="1" applyBorder="1"/>
    <xf numFmtId="165" fontId="0" fillId="0" borderId="27" xfId="0" applyNumberFormat="1" applyBorder="1"/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0" fillId="0" borderId="33" xfId="0" applyNumberFormat="1" applyBorder="1"/>
    <xf numFmtId="165" fontId="0" fillId="0" borderId="18" xfId="0" applyNumberFormat="1" applyBorder="1"/>
    <xf numFmtId="165" fontId="0" fillId="0" borderId="4" xfId="0" applyNumberFormat="1" applyBorder="1"/>
    <xf numFmtId="165" fontId="0" fillId="0" borderId="35" xfId="0" applyNumberFormat="1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36" xfId="0" applyNumberFormat="1" applyBorder="1"/>
    <xf numFmtId="165" fontId="0" fillId="0" borderId="37" xfId="0" applyNumberFormat="1" applyBorder="1"/>
    <xf numFmtId="165" fontId="0" fillId="0" borderId="38" xfId="0" applyNumberFormat="1" applyBorder="1"/>
    <xf numFmtId="165" fontId="0" fillId="0" borderId="13" xfId="0" applyNumberFormat="1" applyBorder="1"/>
    <xf numFmtId="165" fontId="0" fillId="0" borderId="39" xfId="0" applyNumberForma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12" xfId="0" applyFon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10" fillId="0" borderId="0" xfId="2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41" xfId="0" applyBorder="1"/>
    <xf numFmtId="0" fontId="11" fillId="0" borderId="18" xfId="0" applyFont="1" applyBorder="1"/>
    <xf numFmtId="0" fontId="2" fillId="0" borderId="25" xfId="0" applyFont="1" applyBorder="1"/>
    <xf numFmtId="0" fontId="0" fillId="0" borderId="0" xfId="0" applyFont="1" applyFill="1" applyBorder="1"/>
    <xf numFmtId="0" fontId="5" fillId="0" borderId="0" xfId="0" applyFont="1" applyAlignment="1">
      <alignment horizontal="center" wrapText="1"/>
    </xf>
    <xf numFmtId="0" fontId="8" fillId="0" borderId="25" xfId="0" quotePrefix="1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3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37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3">
    <cellStyle name="Hyperlink" xfId="2" builtinId="8"/>
    <cellStyle name="Normal" xfId="0" builtinId="0"/>
    <cellStyle name="Normal 2" xfId="1" xr:uid="{49FD04E7-2E1A-4874-82D1-CF9D33EF37FB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8E0F05BB-C8AA-4F04-88C3-E743C39EE67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NOx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36482939632551E-2"/>
          <c:y val="6.5231481481481488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'[1]NOx 2006-2040'!$B$1</c:f>
              <c:strCache>
                <c:ptCount val="1"/>
                <c:pt idx="0">
                  <c:v>OTAQ L-H NOx 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'[1]NOx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'[1]NOx 2006-2040'!$B$2:$B$36</c:f>
              <c:numCache>
                <c:formatCode>General</c:formatCode>
                <c:ptCount val="35"/>
                <c:pt idx="0">
                  <c:v>180</c:v>
                </c:pt>
                <c:pt idx="1">
                  <c:v>175</c:v>
                </c:pt>
                <c:pt idx="2">
                  <c:v>169</c:v>
                </c:pt>
                <c:pt idx="3">
                  <c:v>165</c:v>
                </c:pt>
                <c:pt idx="4">
                  <c:v>157</c:v>
                </c:pt>
                <c:pt idx="5">
                  <c:v>149</c:v>
                </c:pt>
                <c:pt idx="6">
                  <c:v>144</c:v>
                </c:pt>
                <c:pt idx="7">
                  <c:v>139</c:v>
                </c:pt>
                <c:pt idx="8">
                  <c:v>135</c:v>
                </c:pt>
                <c:pt idx="9">
                  <c:v>129</c:v>
                </c:pt>
                <c:pt idx="10">
                  <c:v>121</c:v>
                </c:pt>
                <c:pt idx="11">
                  <c:v>114</c:v>
                </c:pt>
                <c:pt idx="12">
                  <c:v>108</c:v>
                </c:pt>
                <c:pt idx="13">
                  <c:v>103</c:v>
                </c:pt>
                <c:pt idx="14">
                  <c:v>99</c:v>
                </c:pt>
                <c:pt idx="15">
                  <c:v>94</c:v>
                </c:pt>
                <c:pt idx="16">
                  <c:v>89</c:v>
                </c:pt>
                <c:pt idx="17">
                  <c:v>84</c:v>
                </c:pt>
                <c:pt idx="18">
                  <c:v>79</c:v>
                </c:pt>
                <c:pt idx="19">
                  <c:v>74</c:v>
                </c:pt>
                <c:pt idx="20">
                  <c:v>69</c:v>
                </c:pt>
                <c:pt idx="21">
                  <c:v>65</c:v>
                </c:pt>
                <c:pt idx="22">
                  <c:v>61</c:v>
                </c:pt>
                <c:pt idx="23">
                  <c:v>57</c:v>
                </c:pt>
                <c:pt idx="24">
                  <c:v>53</c:v>
                </c:pt>
                <c:pt idx="25">
                  <c:v>49</c:v>
                </c:pt>
                <c:pt idx="26">
                  <c:v>46</c:v>
                </c:pt>
                <c:pt idx="27">
                  <c:v>43</c:v>
                </c:pt>
                <c:pt idx="28">
                  <c:v>40</c:v>
                </c:pt>
                <c:pt idx="29">
                  <c:v>37</c:v>
                </c:pt>
                <c:pt idx="30">
                  <c:v>35</c:v>
                </c:pt>
                <c:pt idx="31">
                  <c:v>33</c:v>
                </c:pt>
                <c:pt idx="32">
                  <c:v>31</c:v>
                </c:pt>
                <c:pt idx="33">
                  <c:v>29</c:v>
                </c:pt>
                <c:pt idx="3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C-4F92-A60A-B73BCCBDB5F1}"/>
            </c:ext>
          </c:extLst>
        </c:ser>
        <c:ser>
          <c:idx val="2"/>
          <c:order val="1"/>
          <c:tx>
            <c:strRef>
              <c:f>'[1]NOx 2006-2040'!$C$1</c:f>
              <c:strCache>
                <c:ptCount val="1"/>
                <c:pt idx="0">
                  <c:v>ERTAC L-H NOx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7.3665588076228536E-3"/>
                  <c:y val="4.174031854157690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'[1]NOx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'[1]NOx 2006-2040'!$C$2:$C$36</c:f>
              <c:numCache>
                <c:formatCode>General</c:formatCode>
                <c:ptCount val="35"/>
                <c:pt idx="1">
                  <c:v>181.5</c:v>
                </c:pt>
                <c:pt idx="8">
                  <c:v>150.21</c:v>
                </c:pt>
                <c:pt idx="10">
                  <c:v>138.63</c:v>
                </c:pt>
                <c:pt idx="11">
                  <c:v>134.77000000000001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1C-4F92-A60A-B73BCCBD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PM10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93823235998211"/>
          <c:y val="5.5028025712886446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'[1]PM10 2006-2040'!$B$1</c:f>
              <c:strCache>
                <c:ptCount val="1"/>
                <c:pt idx="0">
                  <c:v>OTAQ L-H PM10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'[1]PM10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'[1]PM10 2006-2040'!$B$2:$B$36</c:f>
              <c:numCache>
                <c:formatCode>General</c:formatCode>
                <c:ptCount val="35"/>
                <c:pt idx="0">
                  <c:v>6.4</c:v>
                </c:pt>
                <c:pt idx="1">
                  <c:v>6.3</c:v>
                </c:pt>
                <c:pt idx="2">
                  <c:v>5.0999999999999996</c:v>
                </c:pt>
                <c:pt idx="3">
                  <c:v>4.9000000000000004</c:v>
                </c:pt>
                <c:pt idx="4">
                  <c:v>4.7</c:v>
                </c:pt>
                <c:pt idx="5">
                  <c:v>4.4000000000000004</c:v>
                </c:pt>
                <c:pt idx="6">
                  <c:v>4.0999999999999996</c:v>
                </c:pt>
                <c:pt idx="7">
                  <c:v>3.8</c:v>
                </c:pt>
                <c:pt idx="8">
                  <c:v>3.6</c:v>
                </c:pt>
                <c:pt idx="9">
                  <c:v>3.4</c:v>
                </c:pt>
                <c:pt idx="10">
                  <c:v>3.1</c:v>
                </c:pt>
                <c:pt idx="11">
                  <c:v>2.9</c:v>
                </c:pt>
                <c:pt idx="12">
                  <c:v>2.7</c:v>
                </c:pt>
                <c:pt idx="13">
                  <c:v>2.5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2</c:v>
                </c:pt>
                <c:pt idx="17">
                  <c:v>1.9</c:v>
                </c:pt>
                <c:pt idx="18">
                  <c:v>1.7</c:v>
                </c:pt>
                <c:pt idx="19">
                  <c:v>1.6</c:v>
                </c:pt>
                <c:pt idx="20">
                  <c:v>1.5</c:v>
                </c:pt>
                <c:pt idx="21">
                  <c:v>1.4</c:v>
                </c:pt>
                <c:pt idx="22">
                  <c:v>1.3</c:v>
                </c:pt>
                <c:pt idx="23">
                  <c:v>1.1000000000000001</c:v>
                </c:pt>
                <c:pt idx="24">
                  <c:v>1</c:v>
                </c:pt>
                <c:pt idx="25">
                  <c:v>1</c:v>
                </c:pt>
                <c:pt idx="26">
                  <c:v>0.9</c:v>
                </c:pt>
                <c:pt idx="27">
                  <c:v>0.8</c:v>
                </c:pt>
                <c:pt idx="28">
                  <c:v>0.7</c:v>
                </c:pt>
                <c:pt idx="29">
                  <c:v>0.7</c:v>
                </c:pt>
                <c:pt idx="30">
                  <c:v>0.6</c:v>
                </c:pt>
                <c:pt idx="31">
                  <c:v>0.6</c:v>
                </c:pt>
                <c:pt idx="32">
                  <c:v>0.5</c:v>
                </c:pt>
                <c:pt idx="33">
                  <c:v>0.5</c:v>
                </c:pt>
                <c:pt idx="3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B-4282-80D7-1A72E945182D}"/>
            </c:ext>
          </c:extLst>
        </c:ser>
        <c:ser>
          <c:idx val="0"/>
          <c:order val="1"/>
          <c:tx>
            <c:strRef>
              <c:f>'[1]PM10 2006-2040'!$C$1</c:f>
              <c:strCache>
                <c:ptCount val="1"/>
                <c:pt idx="0">
                  <c:v>ERTAC L-H PM10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4.1845385543023229E-2"/>
                  <c:y val="-1.132648321213014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val>
            <c:numRef>
              <c:f>'[1]PM10 2006-2040'!$C$2:$C$36</c:f>
              <c:numCache>
                <c:formatCode>General</c:formatCode>
                <c:ptCount val="35"/>
                <c:pt idx="1">
                  <c:v>6.13</c:v>
                </c:pt>
                <c:pt idx="8">
                  <c:v>4.851</c:v>
                </c:pt>
                <c:pt idx="10">
                  <c:v>4.117</c:v>
                </c:pt>
                <c:pt idx="11">
                  <c:v>3.944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B-4282-80D7-1A72E945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OTAQ</a:t>
            </a:r>
            <a:r>
              <a:rPr lang="en-US" baseline="0"/>
              <a:t> vs. ERTAC Rail Line-haul HC EF Projections (grams/gal)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136482939632551E-2"/>
          <c:y val="6.5231481481481488E-2"/>
          <c:w val="0.88250918635170605"/>
          <c:h val="0.779931711972965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'[1]HC 2006-2040'!$B$1</c:f>
              <c:strCache>
                <c:ptCount val="1"/>
                <c:pt idx="0">
                  <c:v>OTAQ L-H HC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6">
                    <a:lumMod val="5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'[1]HC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'[1]HC 2006-2040'!$B$2:$B$36</c:f>
              <c:numCache>
                <c:formatCode>General</c:formatCode>
                <c:ptCount val="35"/>
                <c:pt idx="0">
                  <c:v>9.5</c:v>
                </c:pt>
                <c:pt idx="1">
                  <c:v>9.3000000000000007</c:v>
                </c:pt>
                <c:pt idx="2">
                  <c:v>9</c:v>
                </c:pt>
                <c:pt idx="3">
                  <c:v>8.6999999999999993</c:v>
                </c:pt>
                <c:pt idx="4">
                  <c:v>8.3000000000000007</c:v>
                </c:pt>
                <c:pt idx="5">
                  <c:v>7.7</c:v>
                </c:pt>
                <c:pt idx="6">
                  <c:v>7.1</c:v>
                </c:pt>
                <c:pt idx="7">
                  <c:v>6.5</c:v>
                </c:pt>
                <c:pt idx="8">
                  <c:v>6.1</c:v>
                </c:pt>
                <c:pt idx="9">
                  <c:v>5.7</c:v>
                </c:pt>
                <c:pt idx="10">
                  <c:v>5.0999999999999996</c:v>
                </c:pt>
                <c:pt idx="11">
                  <c:v>4.5999999999999996</c:v>
                </c:pt>
                <c:pt idx="12">
                  <c:v>4.2</c:v>
                </c:pt>
                <c:pt idx="13">
                  <c:v>3.9</c:v>
                </c:pt>
                <c:pt idx="14">
                  <c:v>3.6</c:v>
                </c:pt>
                <c:pt idx="15">
                  <c:v>3.4</c:v>
                </c:pt>
                <c:pt idx="16">
                  <c:v>3.2</c:v>
                </c:pt>
                <c:pt idx="17">
                  <c:v>3</c:v>
                </c:pt>
                <c:pt idx="18">
                  <c:v>2.8</c:v>
                </c:pt>
                <c:pt idx="19">
                  <c:v>2.6</c:v>
                </c:pt>
                <c:pt idx="20">
                  <c:v>2.5</c:v>
                </c:pt>
                <c:pt idx="21">
                  <c:v>2.2999999999999998</c:v>
                </c:pt>
                <c:pt idx="22">
                  <c:v>2.1</c:v>
                </c:pt>
                <c:pt idx="23">
                  <c:v>2</c:v>
                </c:pt>
                <c:pt idx="24">
                  <c:v>1.9</c:v>
                </c:pt>
                <c:pt idx="25">
                  <c:v>1.7</c:v>
                </c:pt>
                <c:pt idx="26">
                  <c:v>1.6</c:v>
                </c:pt>
                <c:pt idx="27">
                  <c:v>1.5</c:v>
                </c:pt>
                <c:pt idx="28">
                  <c:v>1.4</c:v>
                </c:pt>
                <c:pt idx="29">
                  <c:v>1.3</c:v>
                </c:pt>
                <c:pt idx="30">
                  <c:v>1.2</c:v>
                </c:pt>
                <c:pt idx="31">
                  <c:v>1.2</c:v>
                </c:pt>
                <c:pt idx="32">
                  <c:v>1.1000000000000001</c:v>
                </c:pt>
                <c:pt idx="33">
                  <c:v>1.1000000000000001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A-400E-AB29-CF94936EA768}"/>
            </c:ext>
          </c:extLst>
        </c:ser>
        <c:ser>
          <c:idx val="0"/>
          <c:order val="1"/>
          <c:tx>
            <c:strRef>
              <c:f>'[1]HC 2006-2040'!$C$1</c:f>
              <c:strCache>
                <c:ptCount val="1"/>
                <c:pt idx="0">
                  <c:v>ERTAC L-H HC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5.7221820245442296E-3"/>
                  <c:y val="2.99305701702299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'[1]HC 2006-2040'!$A$2:$A$36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'[1]HC 2006-2040'!$C$2:$C$36</c:f>
              <c:numCache>
                <c:formatCode>General</c:formatCode>
                <c:ptCount val="35"/>
                <c:pt idx="1">
                  <c:v>9.1300000000000008</c:v>
                </c:pt>
                <c:pt idx="8">
                  <c:v>7.21</c:v>
                </c:pt>
                <c:pt idx="10">
                  <c:v>6.15</c:v>
                </c:pt>
                <c:pt idx="11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A-400E-AB29-CF94936EA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995224"/>
        <c:axId val="332995552"/>
      </c:barChart>
      <c:catAx>
        <c:axId val="33299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552"/>
        <c:crosses val="autoZero"/>
        <c:auto val="1"/>
        <c:lblAlgn val="ctr"/>
        <c:lblOffset val="100"/>
        <c:noMultiLvlLbl val="0"/>
      </c:catAx>
      <c:valAx>
        <c:axId val="3329955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995224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</xdr:row>
      <xdr:rowOff>4762</xdr:rowOff>
    </xdr:from>
    <xdr:to>
      <xdr:col>18</xdr:col>
      <xdr:colOff>504825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6F560-F172-48A0-9B5B-F0638F023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0</xdr:rowOff>
    </xdr:from>
    <xdr:to>
      <xdr:col>18</xdr:col>
      <xdr:colOff>447675</xdr:colOff>
      <xdr:row>35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F18C98-3D9E-4688-AE03-ED7F7CEA1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0</xdr:rowOff>
    </xdr:from>
    <xdr:to>
      <xdr:col>18</xdr:col>
      <xdr:colOff>485775</xdr:colOff>
      <xdr:row>35</xdr:row>
      <xdr:rowOff>185738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B5B1DD-873F-4FBA-A866-E488CBE79F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7%20inventory\2017&amp;2020\Copy%20of%20ERTAC%20Rail%20vs%20OTAQ%202009%20ERTAC%20Emission%20Factor%20Projections.3.30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2006-2040"/>
      <sheetName val="PM10 2006-2040"/>
      <sheetName val="HC 2006-2040"/>
    </sheetNames>
    <sheetDataSet>
      <sheetData sheetId="0">
        <row r="1">
          <cell r="B1" t="str">
            <v xml:space="preserve">OTAQ L-H NOx </v>
          </cell>
          <cell r="C1" t="str">
            <v>ERTAC L-H NOx</v>
          </cell>
        </row>
        <row r="2">
          <cell r="A2">
            <v>2006</v>
          </cell>
          <cell r="B2">
            <v>180</v>
          </cell>
        </row>
        <row r="3">
          <cell r="A3">
            <v>2007</v>
          </cell>
          <cell r="B3">
            <v>175</v>
          </cell>
          <cell r="C3">
            <v>181.5</v>
          </cell>
        </row>
        <row r="4">
          <cell r="A4">
            <v>2008</v>
          </cell>
          <cell r="B4">
            <v>169</v>
          </cell>
        </row>
        <row r="5">
          <cell r="A5">
            <v>2009</v>
          </cell>
          <cell r="B5">
            <v>165</v>
          </cell>
        </row>
        <row r="6">
          <cell r="A6">
            <v>2010</v>
          </cell>
          <cell r="B6">
            <v>157</v>
          </cell>
        </row>
        <row r="7">
          <cell r="A7">
            <v>2011</v>
          </cell>
          <cell r="B7">
            <v>149</v>
          </cell>
        </row>
        <row r="8">
          <cell r="A8">
            <v>2012</v>
          </cell>
          <cell r="B8">
            <v>144</v>
          </cell>
        </row>
        <row r="9">
          <cell r="A9">
            <v>2013</v>
          </cell>
          <cell r="B9">
            <v>139</v>
          </cell>
        </row>
        <row r="10">
          <cell r="A10">
            <v>2014</v>
          </cell>
          <cell r="B10">
            <v>135</v>
          </cell>
          <cell r="C10">
            <v>150.21</v>
          </cell>
        </row>
        <row r="11">
          <cell r="A11">
            <v>2015</v>
          </cell>
          <cell r="B11">
            <v>129</v>
          </cell>
        </row>
        <row r="12">
          <cell r="A12">
            <v>2016</v>
          </cell>
          <cell r="B12">
            <v>121</v>
          </cell>
          <cell r="C12">
            <v>138.63</v>
          </cell>
        </row>
        <row r="13">
          <cell r="A13">
            <v>2017</v>
          </cell>
          <cell r="B13">
            <v>114</v>
          </cell>
          <cell r="C13">
            <v>134.77000000000001</v>
          </cell>
        </row>
        <row r="14">
          <cell r="A14">
            <v>2018</v>
          </cell>
          <cell r="B14">
            <v>108</v>
          </cell>
        </row>
        <row r="15">
          <cell r="A15">
            <v>2019</v>
          </cell>
          <cell r="B15">
            <v>103</v>
          </cell>
        </row>
        <row r="16">
          <cell r="A16">
            <v>2020</v>
          </cell>
          <cell r="B16">
            <v>99</v>
          </cell>
        </row>
        <row r="17">
          <cell r="A17">
            <v>2021</v>
          </cell>
          <cell r="B17">
            <v>94</v>
          </cell>
        </row>
        <row r="18">
          <cell r="A18">
            <v>2022</v>
          </cell>
          <cell r="B18">
            <v>89</v>
          </cell>
        </row>
        <row r="19">
          <cell r="A19">
            <v>2023</v>
          </cell>
          <cell r="B19">
            <v>84</v>
          </cell>
        </row>
        <row r="20">
          <cell r="A20">
            <v>2024</v>
          </cell>
          <cell r="B20">
            <v>79</v>
          </cell>
        </row>
        <row r="21">
          <cell r="A21">
            <v>2025</v>
          </cell>
          <cell r="B21">
            <v>74</v>
          </cell>
        </row>
        <row r="22">
          <cell r="A22">
            <v>2026</v>
          </cell>
          <cell r="B22">
            <v>69</v>
          </cell>
        </row>
        <row r="23">
          <cell r="A23">
            <v>2027</v>
          </cell>
          <cell r="B23">
            <v>65</v>
          </cell>
        </row>
        <row r="24">
          <cell r="A24">
            <v>2028</v>
          </cell>
          <cell r="B24">
            <v>61</v>
          </cell>
        </row>
        <row r="25">
          <cell r="A25">
            <v>2029</v>
          </cell>
          <cell r="B25">
            <v>57</v>
          </cell>
        </row>
        <row r="26">
          <cell r="A26">
            <v>2030</v>
          </cell>
          <cell r="B26">
            <v>53</v>
          </cell>
        </row>
        <row r="27">
          <cell r="A27">
            <v>2031</v>
          </cell>
          <cell r="B27">
            <v>49</v>
          </cell>
        </row>
        <row r="28">
          <cell r="A28">
            <v>2032</v>
          </cell>
          <cell r="B28">
            <v>46</v>
          </cell>
        </row>
        <row r="29">
          <cell r="A29">
            <v>2033</v>
          </cell>
          <cell r="B29">
            <v>43</v>
          </cell>
        </row>
        <row r="30">
          <cell r="A30">
            <v>2034</v>
          </cell>
          <cell r="B30">
            <v>40</v>
          </cell>
        </row>
        <row r="31">
          <cell r="A31">
            <v>2035</v>
          </cell>
          <cell r="B31">
            <v>37</v>
          </cell>
        </row>
        <row r="32">
          <cell r="A32">
            <v>2036</v>
          </cell>
          <cell r="B32">
            <v>35</v>
          </cell>
        </row>
        <row r="33">
          <cell r="A33">
            <v>2037</v>
          </cell>
          <cell r="B33">
            <v>33</v>
          </cell>
        </row>
        <row r="34">
          <cell r="A34">
            <v>2038</v>
          </cell>
          <cell r="B34">
            <v>31</v>
          </cell>
        </row>
        <row r="35">
          <cell r="A35">
            <v>2039</v>
          </cell>
          <cell r="B35">
            <v>29</v>
          </cell>
        </row>
        <row r="36">
          <cell r="A36">
            <v>2040</v>
          </cell>
          <cell r="B36">
            <v>28</v>
          </cell>
        </row>
      </sheetData>
      <sheetData sheetId="1">
        <row r="1">
          <cell r="B1" t="str">
            <v>OTAQ L-H PM10</v>
          </cell>
          <cell r="C1" t="str">
            <v>ERTAC L-H PM10</v>
          </cell>
        </row>
        <row r="2">
          <cell r="A2">
            <v>2006</v>
          </cell>
          <cell r="B2">
            <v>6.4</v>
          </cell>
        </row>
        <row r="3">
          <cell r="A3">
            <v>2007</v>
          </cell>
          <cell r="B3">
            <v>6.3</v>
          </cell>
          <cell r="C3">
            <v>6.13</v>
          </cell>
        </row>
        <row r="4">
          <cell r="A4">
            <v>2008</v>
          </cell>
          <cell r="B4">
            <v>5.0999999999999996</v>
          </cell>
          <cell r="C4"/>
        </row>
        <row r="5">
          <cell r="A5">
            <v>2009</v>
          </cell>
          <cell r="B5">
            <v>4.9000000000000004</v>
          </cell>
        </row>
        <row r="6">
          <cell r="A6">
            <v>2010</v>
          </cell>
          <cell r="B6">
            <v>4.7</v>
          </cell>
        </row>
        <row r="7">
          <cell r="A7">
            <v>2011</v>
          </cell>
          <cell r="B7">
            <v>4.4000000000000004</v>
          </cell>
        </row>
        <row r="8">
          <cell r="A8">
            <v>2012</v>
          </cell>
          <cell r="B8">
            <v>4.0999999999999996</v>
          </cell>
        </row>
        <row r="9">
          <cell r="A9">
            <v>2013</v>
          </cell>
          <cell r="B9">
            <v>3.8</v>
          </cell>
        </row>
        <row r="10">
          <cell r="A10">
            <v>2014</v>
          </cell>
          <cell r="B10">
            <v>3.6</v>
          </cell>
          <cell r="C10">
            <v>4.851</v>
          </cell>
        </row>
        <row r="11">
          <cell r="A11">
            <v>2015</v>
          </cell>
          <cell r="B11">
            <v>3.4</v>
          </cell>
        </row>
        <row r="12">
          <cell r="A12">
            <v>2016</v>
          </cell>
          <cell r="B12">
            <v>3.1</v>
          </cell>
          <cell r="C12">
            <v>4.117</v>
          </cell>
        </row>
        <row r="13">
          <cell r="A13">
            <v>2017</v>
          </cell>
          <cell r="B13">
            <v>2.9</v>
          </cell>
          <cell r="C13">
            <v>3.944</v>
          </cell>
        </row>
        <row r="14">
          <cell r="A14">
            <v>2018</v>
          </cell>
          <cell r="B14">
            <v>2.7</v>
          </cell>
        </row>
        <row r="15">
          <cell r="A15">
            <v>2019</v>
          </cell>
          <cell r="B15">
            <v>2.5</v>
          </cell>
        </row>
        <row r="16">
          <cell r="A16">
            <v>2020</v>
          </cell>
          <cell r="B16">
            <v>2.2999999999999998</v>
          </cell>
        </row>
        <row r="17">
          <cell r="A17">
            <v>2021</v>
          </cell>
          <cell r="B17">
            <v>2.2000000000000002</v>
          </cell>
        </row>
        <row r="18">
          <cell r="A18">
            <v>2022</v>
          </cell>
          <cell r="B18">
            <v>2</v>
          </cell>
        </row>
        <row r="19">
          <cell r="A19">
            <v>2023</v>
          </cell>
          <cell r="B19">
            <v>1.9</v>
          </cell>
        </row>
        <row r="20">
          <cell r="A20">
            <v>2024</v>
          </cell>
          <cell r="B20">
            <v>1.7</v>
          </cell>
        </row>
        <row r="21">
          <cell r="A21">
            <v>2025</v>
          </cell>
          <cell r="B21">
            <v>1.6</v>
          </cell>
        </row>
        <row r="22">
          <cell r="A22">
            <v>2026</v>
          </cell>
          <cell r="B22">
            <v>1.5</v>
          </cell>
        </row>
        <row r="23">
          <cell r="A23">
            <v>2027</v>
          </cell>
          <cell r="B23">
            <v>1.4</v>
          </cell>
        </row>
        <row r="24">
          <cell r="A24">
            <v>2028</v>
          </cell>
          <cell r="B24">
            <v>1.3</v>
          </cell>
        </row>
        <row r="25">
          <cell r="A25">
            <v>2029</v>
          </cell>
          <cell r="B25">
            <v>1.1000000000000001</v>
          </cell>
        </row>
        <row r="26">
          <cell r="A26">
            <v>2030</v>
          </cell>
          <cell r="B26">
            <v>1</v>
          </cell>
        </row>
        <row r="27">
          <cell r="A27">
            <v>2031</v>
          </cell>
          <cell r="B27">
            <v>1</v>
          </cell>
        </row>
        <row r="28">
          <cell r="A28">
            <v>2032</v>
          </cell>
          <cell r="B28">
            <v>0.9</v>
          </cell>
        </row>
        <row r="29">
          <cell r="A29">
            <v>2033</v>
          </cell>
          <cell r="B29">
            <v>0.8</v>
          </cell>
        </row>
        <row r="30">
          <cell r="A30">
            <v>2034</v>
          </cell>
          <cell r="B30">
            <v>0.7</v>
          </cell>
        </row>
        <row r="31">
          <cell r="A31">
            <v>2035</v>
          </cell>
          <cell r="B31">
            <v>0.7</v>
          </cell>
        </row>
        <row r="32">
          <cell r="A32">
            <v>2036</v>
          </cell>
          <cell r="B32">
            <v>0.6</v>
          </cell>
        </row>
        <row r="33">
          <cell r="A33">
            <v>2037</v>
          </cell>
          <cell r="B33">
            <v>0.6</v>
          </cell>
        </row>
        <row r="34">
          <cell r="A34">
            <v>2038</v>
          </cell>
          <cell r="B34">
            <v>0.5</v>
          </cell>
        </row>
        <row r="35">
          <cell r="A35">
            <v>2039</v>
          </cell>
          <cell r="B35">
            <v>0.5</v>
          </cell>
        </row>
        <row r="36">
          <cell r="A36">
            <v>2040</v>
          </cell>
          <cell r="B36">
            <v>0.4</v>
          </cell>
        </row>
      </sheetData>
      <sheetData sheetId="2">
        <row r="1">
          <cell r="B1" t="str">
            <v>OTAQ L-H HC</v>
          </cell>
          <cell r="C1" t="str">
            <v>ERTAC L-H HC</v>
          </cell>
        </row>
        <row r="2">
          <cell r="A2">
            <v>2006</v>
          </cell>
          <cell r="B2">
            <v>9.5</v>
          </cell>
          <cell r="C2"/>
        </row>
        <row r="3">
          <cell r="A3">
            <v>2007</v>
          </cell>
          <cell r="B3">
            <v>9.3000000000000007</v>
          </cell>
          <cell r="C3">
            <v>9.1300000000000008</v>
          </cell>
        </row>
        <row r="4">
          <cell r="A4">
            <v>2008</v>
          </cell>
          <cell r="B4">
            <v>9</v>
          </cell>
          <cell r="C4"/>
        </row>
        <row r="5">
          <cell r="A5">
            <v>2009</v>
          </cell>
          <cell r="B5">
            <v>8.6999999999999993</v>
          </cell>
          <cell r="C5"/>
        </row>
        <row r="6">
          <cell r="A6">
            <v>2010</v>
          </cell>
          <cell r="B6">
            <v>8.3000000000000007</v>
          </cell>
          <cell r="C6"/>
        </row>
        <row r="7">
          <cell r="A7">
            <v>2011</v>
          </cell>
          <cell r="B7">
            <v>7.7</v>
          </cell>
          <cell r="C7"/>
        </row>
        <row r="8">
          <cell r="A8">
            <v>2012</v>
          </cell>
          <cell r="B8">
            <v>7.1</v>
          </cell>
          <cell r="C8"/>
        </row>
        <row r="9">
          <cell r="A9">
            <v>2013</v>
          </cell>
          <cell r="B9">
            <v>6.5</v>
          </cell>
          <cell r="C9"/>
        </row>
        <row r="10">
          <cell r="A10">
            <v>2014</v>
          </cell>
          <cell r="B10">
            <v>6.1</v>
          </cell>
          <cell r="C10">
            <v>7.21</v>
          </cell>
        </row>
        <row r="11">
          <cell r="A11">
            <v>2015</v>
          </cell>
          <cell r="B11">
            <v>5.7</v>
          </cell>
          <cell r="C11"/>
        </row>
        <row r="12">
          <cell r="A12">
            <v>2016</v>
          </cell>
          <cell r="B12">
            <v>5.0999999999999996</v>
          </cell>
          <cell r="C12">
            <v>6.15</v>
          </cell>
        </row>
        <row r="13">
          <cell r="A13">
            <v>2017</v>
          </cell>
          <cell r="B13">
            <v>4.5999999999999996</v>
          </cell>
          <cell r="C13">
            <v>5.9</v>
          </cell>
        </row>
        <row r="14">
          <cell r="A14">
            <v>2018</v>
          </cell>
          <cell r="B14">
            <v>4.2</v>
          </cell>
          <cell r="C14"/>
        </row>
        <row r="15">
          <cell r="A15">
            <v>2019</v>
          </cell>
          <cell r="B15">
            <v>3.9</v>
          </cell>
          <cell r="C15"/>
        </row>
        <row r="16">
          <cell r="A16">
            <v>2020</v>
          </cell>
          <cell r="B16">
            <v>3.6</v>
          </cell>
          <cell r="C16"/>
        </row>
        <row r="17">
          <cell r="A17">
            <v>2021</v>
          </cell>
          <cell r="B17">
            <v>3.4</v>
          </cell>
          <cell r="C17"/>
        </row>
        <row r="18">
          <cell r="A18">
            <v>2022</v>
          </cell>
          <cell r="B18">
            <v>3.2</v>
          </cell>
          <cell r="C18"/>
        </row>
        <row r="19">
          <cell r="A19">
            <v>2023</v>
          </cell>
          <cell r="B19">
            <v>3</v>
          </cell>
          <cell r="C19"/>
        </row>
        <row r="20">
          <cell r="A20">
            <v>2024</v>
          </cell>
          <cell r="B20">
            <v>2.8</v>
          </cell>
          <cell r="C20"/>
        </row>
        <row r="21">
          <cell r="A21">
            <v>2025</v>
          </cell>
          <cell r="B21">
            <v>2.6</v>
          </cell>
          <cell r="C21"/>
        </row>
        <row r="22">
          <cell r="A22">
            <v>2026</v>
          </cell>
          <cell r="B22">
            <v>2.5</v>
          </cell>
          <cell r="C22"/>
        </row>
        <row r="23">
          <cell r="A23">
            <v>2027</v>
          </cell>
          <cell r="B23">
            <v>2.2999999999999998</v>
          </cell>
          <cell r="C23"/>
        </row>
        <row r="24">
          <cell r="A24">
            <v>2028</v>
          </cell>
          <cell r="B24">
            <v>2.1</v>
          </cell>
          <cell r="C24"/>
        </row>
        <row r="25">
          <cell r="A25">
            <v>2029</v>
          </cell>
          <cell r="B25">
            <v>2</v>
          </cell>
          <cell r="C25"/>
        </row>
        <row r="26">
          <cell r="A26">
            <v>2030</v>
          </cell>
          <cell r="B26">
            <v>1.9</v>
          </cell>
          <cell r="C26"/>
        </row>
        <row r="27">
          <cell r="A27">
            <v>2031</v>
          </cell>
          <cell r="B27">
            <v>1.7</v>
          </cell>
          <cell r="C27"/>
        </row>
        <row r="28">
          <cell r="A28">
            <v>2032</v>
          </cell>
          <cell r="B28">
            <v>1.6</v>
          </cell>
          <cell r="C28"/>
        </row>
        <row r="29">
          <cell r="A29">
            <v>2033</v>
          </cell>
          <cell r="B29">
            <v>1.5</v>
          </cell>
          <cell r="C29"/>
        </row>
        <row r="30">
          <cell r="A30">
            <v>2034</v>
          </cell>
          <cell r="B30">
            <v>1.4</v>
          </cell>
          <cell r="C30"/>
        </row>
        <row r="31">
          <cell r="A31">
            <v>2035</v>
          </cell>
          <cell r="B31">
            <v>1.3</v>
          </cell>
          <cell r="C31"/>
        </row>
        <row r="32">
          <cell r="A32">
            <v>2036</v>
          </cell>
          <cell r="B32">
            <v>1.2</v>
          </cell>
          <cell r="C32"/>
        </row>
        <row r="33">
          <cell r="A33">
            <v>2037</v>
          </cell>
          <cell r="B33">
            <v>1.2</v>
          </cell>
          <cell r="C33"/>
        </row>
        <row r="34">
          <cell r="A34">
            <v>2038</v>
          </cell>
          <cell r="B34">
            <v>1.1000000000000001</v>
          </cell>
          <cell r="C34"/>
        </row>
        <row r="35">
          <cell r="A35">
            <v>2039</v>
          </cell>
          <cell r="B35">
            <v>1.1000000000000001</v>
          </cell>
          <cell r="C35"/>
        </row>
        <row r="36">
          <cell r="A36">
            <v>2040</v>
          </cell>
          <cell r="B36">
            <v>1</v>
          </cell>
          <cell r="C3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b.dot.gov/stb/industry/econ_repor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83BA-AB3B-4B1D-B839-3FA0509A017A}">
  <dimension ref="A1:A20"/>
  <sheetViews>
    <sheetView tabSelected="1" workbookViewId="0">
      <selection activeCell="A5" sqref="A5"/>
    </sheetView>
  </sheetViews>
  <sheetFormatPr defaultRowHeight="15" x14ac:dyDescent="0.25"/>
  <cols>
    <col min="1" max="1" width="73.5703125" customWidth="1"/>
    <col min="257" max="257" width="73.5703125" customWidth="1"/>
    <col min="513" max="513" width="73.5703125" customWidth="1"/>
    <col min="769" max="769" width="73.5703125" customWidth="1"/>
    <col min="1025" max="1025" width="73.5703125" customWidth="1"/>
    <col min="1281" max="1281" width="73.5703125" customWidth="1"/>
    <col min="1537" max="1537" width="73.5703125" customWidth="1"/>
    <col min="1793" max="1793" width="73.5703125" customWidth="1"/>
    <col min="2049" max="2049" width="73.5703125" customWidth="1"/>
    <col min="2305" max="2305" width="73.5703125" customWidth="1"/>
    <col min="2561" max="2561" width="73.5703125" customWidth="1"/>
    <col min="2817" max="2817" width="73.5703125" customWidth="1"/>
    <col min="3073" max="3073" width="73.5703125" customWidth="1"/>
    <col min="3329" max="3329" width="73.5703125" customWidth="1"/>
    <col min="3585" max="3585" width="73.5703125" customWidth="1"/>
    <col min="3841" max="3841" width="73.5703125" customWidth="1"/>
    <col min="4097" max="4097" width="73.5703125" customWidth="1"/>
    <col min="4353" max="4353" width="73.5703125" customWidth="1"/>
    <col min="4609" max="4609" width="73.5703125" customWidth="1"/>
    <col min="4865" max="4865" width="73.5703125" customWidth="1"/>
    <col min="5121" max="5121" width="73.5703125" customWidth="1"/>
    <col min="5377" max="5377" width="73.5703125" customWidth="1"/>
    <col min="5633" max="5633" width="73.5703125" customWidth="1"/>
    <col min="5889" max="5889" width="73.5703125" customWidth="1"/>
    <col min="6145" max="6145" width="73.5703125" customWidth="1"/>
    <col min="6401" max="6401" width="73.5703125" customWidth="1"/>
    <col min="6657" max="6657" width="73.5703125" customWidth="1"/>
    <col min="6913" max="6913" width="73.5703125" customWidth="1"/>
    <col min="7169" max="7169" width="73.5703125" customWidth="1"/>
    <col min="7425" max="7425" width="73.5703125" customWidth="1"/>
    <col min="7681" max="7681" width="73.5703125" customWidth="1"/>
    <col min="7937" max="7937" width="73.5703125" customWidth="1"/>
    <col min="8193" max="8193" width="73.5703125" customWidth="1"/>
    <col min="8449" max="8449" width="73.5703125" customWidth="1"/>
    <col min="8705" max="8705" width="73.5703125" customWidth="1"/>
    <col min="8961" max="8961" width="73.5703125" customWidth="1"/>
    <col min="9217" max="9217" width="73.5703125" customWidth="1"/>
    <col min="9473" max="9473" width="73.5703125" customWidth="1"/>
    <col min="9729" max="9729" width="73.5703125" customWidth="1"/>
    <col min="9985" max="9985" width="73.5703125" customWidth="1"/>
    <col min="10241" max="10241" width="73.5703125" customWidth="1"/>
    <col min="10497" max="10497" width="73.5703125" customWidth="1"/>
    <col min="10753" max="10753" width="73.5703125" customWidth="1"/>
    <col min="11009" max="11009" width="73.5703125" customWidth="1"/>
    <col min="11265" max="11265" width="73.5703125" customWidth="1"/>
    <col min="11521" max="11521" width="73.5703125" customWidth="1"/>
    <col min="11777" max="11777" width="73.5703125" customWidth="1"/>
    <col min="12033" max="12033" width="73.5703125" customWidth="1"/>
    <col min="12289" max="12289" width="73.5703125" customWidth="1"/>
    <col min="12545" max="12545" width="73.5703125" customWidth="1"/>
    <col min="12801" max="12801" width="73.5703125" customWidth="1"/>
    <col min="13057" max="13057" width="73.5703125" customWidth="1"/>
    <col min="13313" max="13313" width="73.5703125" customWidth="1"/>
    <col min="13569" max="13569" width="73.5703125" customWidth="1"/>
    <col min="13825" max="13825" width="73.5703125" customWidth="1"/>
    <col min="14081" max="14081" width="73.5703125" customWidth="1"/>
    <col min="14337" max="14337" width="73.5703125" customWidth="1"/>
    <col min="14593" max="14593" width="73.5703125" customWidth="1"/>
    <col min="14849" max="14849" width="73.5703125" customWidth="1"/>
    <col min="15105" max="15105" width="73.5703125" customWidth="1"/>
    <col min="15361" max="15361" width="73.5703125" customWidth="1"/>
    <col min="15617" max="15617" width="73.5703125" customWidth="1"/>
    <col min="15873" max="15873" width="73.5703125" customWidth="1"/>
    <col min="16129" max="16129" width="73.5703125" customWidth="1"/>
  </cols>
  <sheetData>
    <row r="1" spans="1:1" x14ac:dyDescent="0.25">
      <c r="A1" s="47" t="s">
        <v>110</v>
      </c>
    </row>
    <row r="2" spans="1:1" x14ac:dyDescent="0.25">
      <c r="A2" s="48" t="s">
        <v>111</v>
      </c>
    </row>
    <row r="3" spans="1:1" x14ac:dyDescent="0.25">
      <c r="A3" s="48" t="s">
        <v>130</v>
      </c>
    </row>
    <row r="4" spans="1:1" x14ac:dyDescent="0.25">
      <c r="A4" s="48" t="s">
        <v>175</v>
      </c>
    </row>
    <row r="5" spans="1:1" x14ac:dyDescent="0.25">
      <c r="A5" s="48"/>
    </row>
    <row r="6" spans="1:1" x14ac:dyDescent="0.25">
      <c r="A6" s="49" t="s">
        <v>112</v>
      </c>
    </row>
    <row r="7" spans="1:1" ht="26.25" x14ac:dyDescent="0.25">
      <c r="A7" s="48" t="s">
        <v>113</v>
      </c>
    </row>
    <row r="8" spans="1:1" x14ac:dyDescent="0.25">
      <c r="A8" s="50" t="s">
        <v>114</v>
      </c>
    </row>
    <row r="9" spans="1:1" x14ac:dyDescent="0.25">
      <c r="A9" s="49" t="s">
        <v>131</v>
      </c>
    </row>
    <row r="10" spans="1:1" x14ac:dyDescent="0.25">
      <c r="A10" s="47" t="s">
        <v>115</v>
      </c>
    </row>
    <row r="11" spans="1:1" x14ac:dyDescent="0.25">
      <c r="A11" s="51">
        <v>44165</v>
      </c>
    </row>
    <row r="12" spans="1:1" x14ac:dyDescent="0.25">
      <c r="A12" s="47"/>
    </row>
    <row r="14" spans="1:1" x14ac:dyDescent="0.25">
      <c r="A14" s="48"/>
    </row>
    <row r="15" spans="1:1" x14ac:dyDescent="0.25">
      <c r="A15" s="48"/>
    </row>
    <row r="16" spans="1:1" x14ac:dyDescent="0.25">
      <c r="A16" s="48"/>
    </row>
    <row r="17" spans="1:1" x14ac:dyDescent="0.25">
      <c r="A17" s="110"/>
    </row>
    <row r="18" spans="1:1" x14ac:dyDescent="0.25">
      <c r="A18" s="110"/>
    </row>
    <row r="19" spans="1:1" x14ac:dyDescent="0.25">
      <c r="A19" s="47"/>
    </row>
    <row r="20" spans="1:1" x14ac:dyDescent="0.25">
      <c r="A20" s="51"/>
    </row>
  </sheetData>
  <mergeCells count="1">
    <mergeCell ref="A1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7BB72-74EA-4CEA-98AB-811D3902C86F}">
  <sheetPr>
    <pageSetUpPr fitToPage="1"/>
  </sheetPr>
  <dimension ref="A1:T35"/>
  <sheetViews>
    <sheetView workbookViewId="0">
      <selection activeCell="R8" sqref="R8"/>
    </sheetView>
  </sheetViews>
  <sheetFormatPr defaultRowHeight="15" x14ac:dyDescent="0.25"/>
  <cols>
    <col min="1" max="1" width="13" customWidth="1"/>
    <col min="2" max="2" width="13.42578125" bestFit="1" customWidth="1"/>
    <col min="5" max="5" width="10.7109375" customWidth="1"/>
    <col min="6" max="6" width="11.5703125" customWidth="1"/>
    <col min="7" max="8" width="14.5703125" bestFit="1" customWidth="1"/>
    <col min="10" max="10" width="9.85546875" bestFit="1" customWidth="1"/>
    <col min="12" max="12" width="9.7109375" bestFit="1" customWidth="1"/>
    <col min="13" max="13" width="10" bestFit="1" customWidth="1"/>
    <col min="14" max="15" width="14.5703125" bestFit="1" customWidth="1"/>
    <col min="17" max="17" width="9.85546875" bestFit="1" customWidth="1"/>
  </cols>
  <sheetData>
    <row r="1" spans="1:20" x14ac:dyDescent="0.25">
      <c r="A1" s="4" t="s">
        <v>170</v>
      </c>
      <c r="R1" s="95"/>
    </row>
    <row r="2" spans="1:20" x14ac:dyDescent="0.25">
      <c r="A2" s="94" t="s">
        <v>169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R2" s="94"/>
      <c r="T2" s="95"/>
    </row>
    <row r="3" spans="1:20" x14ac:dyDescent="0.25">
      <c r="A3" s="4" t="s">
        <v>146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R3" s="4"/>
    </row>
    <row r="4" spans="1:20" x14ac:dyDescent="0.2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R4" s="2"/>
      <c r="T4" s="2"/>
    </row>
    <row r="5" spans="1:20" ht="15.75" thickBot="1" x14ac:dyDescent="0.3">
      <c r="A5" s="3" t="s">
        <v>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R5" s="3"/>
      <c r="T5" s="4"/>
    </row>
    <row r="6" spans="1:20" ht="30.75" thickBot="1" x14ac:dyDescent="0.3">
      <c r="A6" s="21" t="s">
        <v>58</v>
      </c>
      <c r="B6" s="22" t="s">
        <v>59</v>
      </c>
      <c r="C6" s="22" t="s">
        <v>40</v>
      </c>
      <c r="D6" s="5" t="s">
        <v>132</v>
      </c>
      <c r="E6" s="10" t="s">
        <v>133</v>
      </c>
      <c r="F6" s="6" t="s">
        <v>134</v>
      </c>
      <c r="G6" s="6" t="s">
        <v>135</v>
      </c>
      <c r="H6" s="6" t="s">
        <v>136</v>
      </c>
      <c r="I6" s="6" t="s">
        <v>137</v>
      </c>
      <c r="J6" s="9" t="s">
        <v>138</v>
      </c>
      <c r="K6" s="5" t="s">
        <v>132</v>
      </c>
      <c r="L6" s="10" t="s">
        <v>133</v>
      </c>
      <c r="M6" s="6" t="s">
        <v>134</v>
      </c>
      <c r="N6" s="6" t="s">
        <v>135</v>
      </c>
      <c r="O6" s="6" t="s">
        <v>136</v>
      </c>
      <c r="P6" s="6" t="s">
        <v>137</v>
      </c>
      <c r="Q6" s="9" t="s">
        <v>138</v>
      </c>
      <c r="R6" s="26"/>
      <c r="S6" s="27"/>
      <c r="T6" s="3"/>
    </row>
    <row r="7" spans="1:20" ht="15.75" thickBot="1" x14ac:dyDescent="0.3">
      <c r="A7" s="7"/>
      <c r="B7" s="28"/>
      <c r="C7" s="29"/>
      <c r="D7" s="30">
        <f>DSUM('2020 NEI COMPILE 2017-20 CTYSCC'!$D$7:$AD$64,'2020 NEI COMPILE 2017-20 CTYSCC'!X$7,'2020 RAIL CTY NAA TPY TPD'!$C$34:$C$35)</f>
        <v>151.51267453196721</v>
      </c>
      <c r="E7" s="30">
        <f>DSUM('2020 NEI COMPILE 2017-20 CTYSCC'!$D$7:$AD$64,'2020 NEI COMPILE 2017-20 CTYSCC'!Y$7,'2020 RAIL CTY NAA TPY TPD'!$C$34:$C$35)</f>
        <v>3.7129817528641432E-2</v>
      </c>
      <c r="F7" s="30">
        <f>DSUM('2020 NEI COMPILE 2017-20 CTYSCC'!$D$7:$AD$64,'2020 NEI COMPILE 2017-20 CTYSCC'!Z$7,'2020 RAIL CTY NAA TPY TPD'!$C$34:$C$35)</f>
        <v>1028.4835049219851</v>
      </c>
      <c r="G7" s="30">
        <f>DSUM('2020 NEI COMPILE 2017-20 CTYSCC'!$D$7:$AD$64,'2020 NEI COMPILE 2017-20 CTYSCC'!AA$7,'2020 RAIL CTY NAA TPY TPD'!$C$34:$C$35)</f>
        <v>29.310394510423947</v>
      </c>
      <c r="H7" s="30">
        <f>DSUM('2020 NEI COMPILE 2017-20 CTYSCC'!$D$7:$AD$64,'2020 NEI COMPILE 2017-20 CTYSCC'!AB$7,'2020 RAIL CTY NAA TPY TPD'!$C$34:$C$35)</f>
        <v>28.431034027069494</v>
      </c>
      <c r="I7" s="30">
        <f>DSUM('2020 NEI COMPILE 2017-20 CTYSCC'!$D$7:$AD$64,'2020 NEI COMPILE 2017-20 CTYSCC'!AC$7,'2020 RAIL CTY NAA TPY TPD'!$C$34:$C$35)</f>
        <v>0.53376776092049449</v>
      </c>
      <c r="J7" s="30">
        <f>DSUM('2020 NEI COMPILE 2017-20 CTYSCC'!$D$7:$AD$64,'2020 NEI COMPILE 2017-20 CTYSCC'!AD$7,'2020 RAIL CTY NAA TPY TPD'!$C$34:$C$35)</f>
        <v>46.757466326239658</v>
      </c>
      <c r="K7" s="31"/>
      <c r="L7" s="32"/>
      <c r="M7" s="32"/>
      <c r="N7" s="32"/>
      <c r="O7" s="32"/>
      <c r="P7" s="32"/>
      <c r="Q7" s="32"/>
      <c r="R7" s="26"/>
      <c r="S7" s="27"/>
    </row>
    <row r="8" spans="1:20" x14ac:dyDescent="0.25">
      <c r="A8" s="33" t="s">
        <v>74</v>
      </c>
      <c r="B8" s="6" t="s">
        <v>35</v>
      </c>
      <c r="C8" s="34" t="s">
        <v>75</v>
      </c>
      <c r="D8" s="70">
        <f t="dataTable" ref="D8:J19" dt2D="0" dtr="0" r1="C35" ca="1"/>
        <v>151.51267453196721</v>
      </c>
      <c r="E8" s="71">
        <v>3.7129817528641432E-2</v>
      </c>
      <c r="F8" s="71">
        <v>1028.4835049219851</v>
      </c>
      <c r="G8" s="71">
        <v>29.310394510423947</v>
      </c>
      <c r="H8" s="71">
        <v>28.431034027069494</v>
      </c>
      <c r="I8" s="71">
        <v>0.53376776092049449</v>
      </c>
      <c r="J8" s="72">
        <v>46.757466326239658</v>
      </c>
      <c r="K8" s="73">
        <f>D8/365</f>
        <v>0.41510321789580057</v>
      </c>
      <c r="L8" s="74">
        <f t="shared" ref="L8:Q19" si="0">E8/365</f>
        <v>1.0172552747572994E-4</v>
      </c>
      <c r="M8" s="74">
        <f t="shared" si="0"/>
        <v>2.8177630271835206</v>
      </c>
      <c r="N8" s="74">
        <f t="shared" si="0"/>
        <v>8.0302450713490264E-2</v>
      </c>
      <c r="O8" s="74">
        <f t="shared" si="0"/>
        <v>7.7893243909779433E-2</v>
      </c>
      <c r="P8" s="74">
        <f t="shared" si="0"/>
        <v>1.462377427179437E-3</v>
      </c>
      <c r="Q8" s="75">
        <f t="shared" si="0"/>
        <v>0.12810264746914976</v>
      </c>
      <c r="R8" s="26"/>
      <c r="S8" s="27"/>
    </row>
    <row r="9" spans="1:20" x14ac:dyDescent="0.25">
      <c r="A9" s="35" t="s">
        <v>74</v>
      </c>
      <c r="B9" s="12" t="s">
        <v>17</v>
      </c>
      <c r="C9" s="36" t="s">
        <v>76</v>
      </c>
      <c r="D9" s="76">
        <v>72.114072120739252</v>
      </c>
      <c r="E9" s="76">
        <v>1.7415690647992896E-2</v>
      </c>
      <c r="F9" s="76">
        <v>446.25763843459038</v>
      </c>
      <c r="G9" s="76">
        <v>12.155895274017025</v>
      </c>
      <c r="H9" s="76">
        <v>11.791198566120986</v>
      </c>
      <c r="I9" s="76">
        <v>0.24877204223771843</v>
      </c>
      <c r="J9" s="72">
        <v>24.152328734787339</v>
      </c>
      <c r="K9" s="77">
        <f t="shared" ref="K9:K19" si="1">D9/365</f>
        <v>0.19757280033079247</v>
      </c>
      <c r="L9" s="76">
        <f t="shared" si="0"/>
        <v>4.7714220953405194E-5</v>
      </c>
      <c r="M9" s="76">
        <f t="shared" si="0"/>
        <v>1.2226236669440833</v>
      </c>
      <c r="N9" s="76">
        <f t="shared" si="0"/>
        <v>3.3303822668539797E-2</v>
      </c>
      <c r="O9" s="76">
        <f t="shared" si="0"/>
        <v>3.2304653605810918E-2</v>
      </c>
      <c r="P9" s="76">
        <f t="shared" si="0"/>
        <v>6.8156723900744773E-4</v>
      </c>
      <c r="Q9" s="78">
        <f t="shared" si="0"/>
        <v>6.6170763656951612E-2</v>
      </c>
      <c r="R9" s="26"/>
      <c r="S9" s="27"/>
    </row>
    <row r="10" spans="1:20" x14ac:dyDescent="0.25">
      <c r="A10" s="35" t="s">
        <v>74</v>
      </c>
      <c r="B10" s="12" t="s">
        <v>21</v>
      </c>
      <c r="C10" s="36" t="s">
        <v>77</v>
      </c>
      <c r="D10" s="76">
        <v>102.98266546702189</v>
      </c>
      <c r="E10" s="76">
        <v>2.50976150505825E-2</v>
      </c>
      <c r="F10" s="76">
        <v>651.32701260339547</v>
      </c>
      <c r="G10" s="76">
        <v>18.12755676754362</v>
      </c>
      <c r="H10" s="76">
        <v>17.575361840838923</v>
      </c>
      <c r="I10" s="76">
        <v>0.35711347868135201</v>
      </c>
      <c r="J10" s="72">
        <v>32.175895513642907</v>
      </c>
      <c r="K10" s="77">
        <f t="shared" si="1"/>
        <v>0.28214428895074489</v>
      </c>
      <c r="L10" s="76">
        <f t="shared" si="0"/>
        <v>6.876058917967808E-5</v>
      </c>
      <c r="M10" s="76">
        <f t="shared" si="0"/>
        <v>1.7844575687764259</v>
      </c>
      <c r="N10" s="76">
        <f t="shared" si="0"/>
        <v>4.9664539089160603E-2</v>
      </c>
      <c r="O10" s="76">
        <f t="shared" si="0"/>
        <v>4.8151676276271024E-2</v>
      </c>
      <c r="P10" s="76">
        <f t="shared" si="0"/>
        <v>9.7839309227767675E-4</v>
      </c>
      <c r="Q10" s="78">
        <f t="shared" si="0"/>
        <v>8.8153138393542205E-2</v>
      </c>
      <c r="R10" s="26"/>
      <c r="S10" s="27"/>
    </row>
    <row r="11" spans="1:20" x14ac:dyDescent="0.25">
      <c r="A11" s="37" t="s">
        <v>74</v>
      </c>
      <c r="B11" s="36" t="s">
        <v>37</v>
      </c>
      <c r="C11" s="36" t="s">
        <v>78</v>
      </c>
      <c r="D11" s="76">
        <v>54.426223067912176</v>
      </c>
      <c r="E11" s="76">
        <v>1.3397746921317816E-2</v>
      </c>
      <c r="F11" s="76">
        <v>331.51509911863525</v>
      </c>
      <c r="G11" s="76">
        <v>9.4064534949793455</v>
      </c>
      <c r="H11" s="76">
        <v>9.1242133656822499</v>
      </c>
      <c r="I11" s="76">
        <v>0.19193039211882243</v>
      </c>
      <c r="J11" s="72">
        <v>14.838582867575672</v>
      </c>
      <c r="K11" s="77">
        <f t="shared" si="1"/>
        <v>0.14911293991208815</v>
      </c>
      <c r="L11" s="76">
        <f t="shared" si="0"/>
        <v>3.6706155948815931E-5</v>
      </c>
      <c r="M11" s="76">
        <f t="shared" si="0"/>
        <v>0.9082605455305075</v>
      </c>
      <c r="N11" s="76">
        <f t="shared" si="0"/>
        <v>2.5771105465696838E-2</v>
      </c>
      <c r="O11" s="76">
        <f t="shared" si="0"/>
        <v>2.4997844837485617E-2</v>
      </c>
      <c r="P11" s="76">
        <f t="shared" si="0"/>
        <v>5.258366907364998E-4</v>
      </c>
      <c r="Q11" s="78">
        <f t="shared" si="0"/>
        <v>4.0653651691988146E-2</v>
      </c>
      <c r="R11" s="26"/>
      <c r="S11" s="27"/>
    </row>
    <row r="12" spans="1:20" x14ac:dyDescent="0.25">
      <c r="A12" s="11" t="s">
        <v>74</v>
      </c>
      <c r="B12" s="12" t="s">
        <v>79</v>
      </c>
      <c r="C12" s="36" t="s">
        <v>80</v>
      </c>
      <c r="D12" s="76">
        <v>67.302523126969689</v>
      </c>
      <c r="E12" s="76">
        <v>1.6482556712250518E-2</v>
      </c>
      <c r="F12" s="76">
        <v>422.47950152850393</v>
      </c>
      <c r="G12" s="76">
        <v>11.934026105312867</v>
      </c>
      <c r="H12" s="76">
        <v>11.518278086572</v>
      </c>
      <c r="I12" s="76">
        <v>0.23579409823603092</v>
      </c>
      <c r="J12" s="72">
        <v>20.243563645672488</v>
      </c>
      <c r="K12" s="77">
        <f t="shared" si="1"/>
        <v>0.1843904743204649</v>
      </c>
      <c r="L12" s="76">
        <f t="shared" si="0"/>
        <v>4.5157689622604161E-5</v>
      </c>
      <c r="M12" s="76">
        <f t="shared" si="0"/>
        <v>1.1574780863794629</v>
      </c>
      <c r="N12" s="76">
        <f t="shared" si="0"/>
        <v>3.2695961932364022E-2</v>
      </c>
      <c r="O12" s="76">
        <f t="shared" si="0"/>
        <v>3.1556926264580822E-2</v>
      </c>
      <c r="P12" s="76">
        <f t="shared" si="0"/>
        <v>6.4601122804392038E-4</v>
      </c>
      <c r="Q12" s="78">
        <f t="shared" si="0"/>
        <v>5.5461818207321885E-2</v>
      </c>
      <c r="R12" s="26"/>
      <c r="S12" s="27"/>
    </row>
    <row r="13" spans="1:20" x14ac:dyDescent="0.25">
      <c r="A13" s="11" t="s">
        <v>74</v>
      </c>
      <c r="B13" s="12" t="s">
        <v>26</v>
      </c>
      <c r="C13" s="36" t="s">
        <v>81</v>
      </c>
      <c r="D13" s="76">
        <v>73.17140978053942</v>
      </c>
      <c r="E13" s="76">
        <v>1.7895908538324571E-2</v>
      </c>
      <c r="F13" s="76">
        <v>534.43883800771869</v>
      </c>
      <c r="G13" s="76">
        <v>15.450218219973758</v>
      </c>
      <c r="H13" s="76">
        <v>14.783169217041559</v>
      </c>
      <c r="I13" s="76">
        <v>0.2545322066335004</v>
      </c>
      <c r="J13" s="72">
        <v>24.40155828863702</v>
      </c>
      <c r="K13" s="77">
        <f t="shared" si="1"/>
        <v>0.2004696158370943</v>
      </c>
      <c r="L13" s="76">
        <f t="shared" si="0"/>
        <v>4.9029886406368689E-5</v>
      </c>
      <c r="M13" s="76">
        <f t="shared" si="0"/>
        <v>1.464215994541695</v>
      </c>
      <c r="N13" s="76">
        <f t="shared" si="0"/>
        <v>4.2329364986229474E-2</v>
      </c>
      <c r="O13" s="76">
        <f t="shared" si="0"/>
        <v>4.0501833471346733E-2</v>
      </c>
      <c r="P13" s="76">
        <f t="shared" si="0"/>
        <v>6.9734851132465859E-4</v>
      </c>
      <c r="Q13" s="78">
        <f t="shared" si="0"/>
        <v>6.685358435243019E-2</v>
      </c>
      <c r="R13" s="26"/>
      <c r="S13" s="27"/>
    </row>
    <row r="14" spans="1:20" x14ac:dyDescent="0.25">
      <c r="A14" s="11" t="s">
        <v>74</v>
      </c>
      <c r="B14" s="12" t="s">
        <v>27</v>
      </c>
      <c r="C14" s="36" t="s">
        <v>82</v>
      </c>
      <c r="D14" s="76">
        <v>40.810910063762286</v>
      </c>
      <c r="E14" s="76">
        <v>9.9784208625807048E-3</v>
      </c>
      <c r="F14" s="76">
        <v>301.11202527668962</v>
      </c>
      <c r="G14" s="76">
        <v>8.5728018412025211</v>
      </c>
      <c r="H14" s="76">
        <v>8.2068954294551446</v>
      </c>
      <c r="I14" s="76">
        <v>0.14193703030451132</v>
      </c>
      <c r="J14" s="72">
        <v>13.473622976060501</v>
      </c>
      <c r="K14" s="77">
        <f t="shared" si="1"/>
        <v>0.11181071250345832</v>
      </c>
      <c r="L14" s="76">
        <f t="shared" si="0"/>
        <v>2.7338139349536177E-5</v>
      </c>
      <c r="M14" s="76">
        <f t="shared" si="0"/>
        <v>0.82496445281284825</v>
      </c>
      <c r="N14" s="76">
        <f t="shared" si="0"/>
        <v>2.3487128332061701E-2</v>
      </c>
      <c r="O14" s="76">
        <f t="shared" si="0"/>
        <v>2.2484645012205876E-2</v>
      </c>
      <c r="P14" s="76">
        <f t="shared" si="0"/>
        <v>3.8886857617674337E-4</v>
      </c>
      <c r="Q14" s="78">
        <f t="shared" si="0"/>
        <v>3.6914035550850689E-2</v>
      </c>
      <c r="R14" s="26"/>
      <c r="S14" s="27"/>
    </row>
    <row r="15" spans="1:20" x14ac:dyDescent="0.25">
      <c r="A15" s="35" t="s">
        <v>74</v>
      </c>
      <c r="B15" s="12" t="s">
        <v>29</v>
      </c>
      <c r="C15" s="36" t="s">
        <v>83</v>
      </c>
      <c r="D15" s="76">
        <v>40.076436510418851</v>
      </c>
      <c r="E15" s="76">
        <v>9.8063701751873681E-3</v>
      </c>
      <c r="F15" s="76">
        <v>296.86068255766418</v>
      </c>
      <c r="G15" s="76">
        <v>8.4652936256427935</v>
      </c>
      <c r="H15" s="76">
        <v>8.107673842574604</v>
      </c>
      <c r="I15" s="76">
        <v>0.13954277010954363</v>
      </c>
      <c r="J15" s="72">
        <v>13.369833641742431</v>
      </c>
      <c r="K15" s="77">
        <f t="shared" si="1"/>
        <v>0.10979845619292836</v>
      </c>
      <c r="L15" s="76">
        <f t="shared" si="0"/>
        <v>2.6866767603253065E-5</v>
      </c>
      <c r="M15" s="76">
        <f t="shared" si="0"/>
        <v>0.81331693851414844</v>
      </c>
      <c r="N15" s="76">
        <f t="shared" si="0"/>
        <v>2.3192585275733681E-2</v>
      </c>
      <c r="O15" s="76">
        <f t="shared" si="0"/>
        <v>2.2212805048149601E-2</v>
      </c>
      <c r="P15" s="76">
        <f t="shared" si="0"/>
        <v>3.8230895920422916E-4</v>
      </c>
      <c r="Q15" s="78">
        <f t="shared" si="0"/>
        <v>3.6629681210253236E-2</v>
      </c>
      <c r="R15" s="26"/>
      <c r="S15" s="27"/>
    </row>
    <row r="16" spans="1:20" x14ac:dyDescent="0.25">
      <c r="A16" s="35" t="s">
        <v>74</v>
      </c>
      <c r="B16" s="12" t="s">
        <v>31</v>
      </c>
      <c r="C16" s="36" t="s">
        <v>84</v>
      </c>
      <c r="D16" s="76">
        <v>64.330217004753123</v>
      </c>
      <c r="E16" s="76">
        <v>1.5769495535749814E-2</v>
      </c>
      <c r="F16" s="76">
        <v>387.68156615176935</v>
      </c>
      <c r="G16" s="76">
        <v>10.98703977360233</v>
      </c>
      <c r="H16" s="76">
        <v>10.657378679562964</v>
      </c>
      <c r="I16" s="76">
        <v>0.22426167257270865</v>
      </c>
      <c r="J16" s="72">
        <v>18.402692209776738</v>
      </c>
      <c r="K16" s="77">
        <f t="shared" si="1"/>
        <v>0.17624716987603595</v>
      </c>
      <c r="L16" s="76">
        <f t="shared" si="0"/>
        <v>4.320409735821867E-5</v>
      </c>
      <c r="M16" s="76">
        <f t="shared" si="0"/>
        <v>1.0621412771281351</v>
      </c>
      <c r="N16" s="76">
        <f t="shared" si="0"/>
        <v>3.0101478831787206E-2</v>
      </c>
      <c r="O16" s="76">
        <f t="shared" si="0"/>
        <v>2.9198297752227299E-2</v>
      </c>
      <c r="P16" s="76">
        <f t="shared" si="0"/>
        <v>6.1441554129509218E-4</v>
      </c>
      <c r="Q16" s="78">
        <f t="shared" si="0"/>
        <v>5.0418334821306129E-2</v>
      </c>
      <c r="R16" s="26"/>
      <c r="S16" s="27"/>
    </row>
    <row r="17" spans="1:19" x14ac:dyDescent="0.25">
      <c r="A17" s="35" t="s">
        <v>74</v>
      </c>
      <c r="B17" s="12" t="s">
        <v>32</v>
      </c>
      <c r="C17" s="36" t="s">
        <v>85</v>
      </c>
      <c r="D17" s="76">
        <v>3.2941614695960624</v>
      </c>
      <c r="E17" s="76">
        <v>8.1688171106329395E-4</v>
      </c>
      <c r="F17" s="76">
        <v>24.401042837426697</v>
      </c>
      <c r="G17" s="76">
        <v>0.6958212384092668</v>
      </c>
      <c r="H17" s="76">
        <v>0.67494662591042531</v>
      </c>
      <c r="I17" s="76">
        <v>1.1616631358862499E-2</v>
      </c>
      <c r="J17" s="72">
        <v>1.0989592593068391</v>
      </c>
      <c r="K17" s="77">
        <f t="shared" si="1"/>
        <v>9.025099916701541E-3</v>
      </c>
      <c r="L17" s="76">
        <f t="shared" si="0"/>
        <v>2.238032085104915E-6</v>
      </c>
      <c r="M17" s="76">
        <f t="shared" si="0"/>
        <v>6.6852172157333412E-2</v>
      </c>
      <c r="N17" s="76">
        <f t="shared" si="0"/>
        <v>1.9063595572856625E-3</v>
      </c>
      <c r="O17" s="76">
        <f t="shared" si="0"/>
        <v>1.8491688381107542E-3</v>
      </c>
      <c r="P17" s="76">
        <f t="shared" si="0"/>
        <v>3.1826387284554791E-5</v>
      </c>
      <c r="Q17" s="78">
        <f t="shared" si="0"/>
        <v>3.0108472857721621E-3</v>
      </c>
      <c r="R17" s="26"/>
      <c r="S17" s="27"/>
    </row>
    <row r="18" spans="1:19" x14ac:dyDescent="0.25">
      <c r="A18" s="35" t="s">
        <v>74</v>
      </c>
      <c r="B18" s="12" t="s">
        <v>33</v>
      </c>
      <c r="C18" s="36" t="s">
        <v>86</v>
      </c>
      <c r="D18" s="76">
        <v>81.341938414908924</v>
      </c>
      <c r="E18" s="76">
        <v>1.9873680410254529E-2</v>
      </c>
      <c r="F18" s="76">
        <v>527.26122794885453</v>
      </c>
      <c r="G18" s="76">
        <v>14.697714371407884</v>
      </c>
      <c r="H18" s="76">
        <v>14.241545187207636</v>
      </c>
      <c r="I18" s="76">
        <v>0.28285674024634733</v>
      </c>
      <c r="J18" s="72">
        <v>25.076199665952352</v>
      </c>
      <c r="K18" s="77">
        <f t="shared" si="1"/>
        <v>0.22285462579427101</v>
      </c>
      <c r="L18" s="76">
        <f t="shared" si="0"/>
        <v>5.4448439480149393E-5</v>
      </c>
      <c r="M18" s="76">
        <f t="shared" si="0"/>
        <v>1.4445513094489164</v>
      </c>
      <c r="N18" s="76">
        <f t="shared" si="0"/>
        <v>4.0267710606596945E-2</v>
      </c>
      <c r="O18" s="76">
        <f t="shared" si="0"/>
        <v>3.9017932019746952E-2</v>
      </c>
      <c r="P18" s="76">
        <f t="shared" si="0"/>
        <v>7.749499732776639E-4</v>
      </c>
      <c r="Q18" s="78">
        <f t="shared" si="0"/>
        <v>6.8701916893020146E-2</v>
      </c>
      <c r="R18" s="26"/>
      <c r="S18" s="27"/>
    </row>
    <row r="19" spans="1:19" ht="15.75" thickBot="1" x14ac:dyDescent="0.3">
      <c r="A19" s="16" t="s">
        <v>74</v>
      </c>
      <c r="B19" s="17" t="s">
        <v>34</v>
      </c>
      <c r="C19" s="38" t="s">
        <v>87</v>
      </c>
      <c r="D19" s="79">
        <v>10.006788625094243</v>
      </c>
      <c r="E19" s="79">
        <v>2.474707193010317E-3</v>
      </c>
      <c r="F19" s="79">
        <v>52.21941540375343</v>
      </c>
      <c r="G19" s="79">
        <v>1.5033658406783905</v>
      </c>
      <c r="H19" s="79">
        <v>1.4582503104505249</v>
      </c>
      <c r="I19" s="79">
        <v>3.5200415981207565E-2</v>
      </c>
      <c r="J19" s="80">
        <v>2.354702930732099</v>
      </c>
      <c r="K19" s="81">
        <f t="shared" si="1"/>
        <v>2.7415859246833544E-2</v>
      </c>
      <c r="L19" s="82">
        <f t="shared" si="0"/>
        <v>6.7800197068775808E-6</v>
      </c>
      <c r="M19" s="82">
        <f t="shared" si="0"/>
        <v>0.1430668915171327</v>
      </c>
      <c r="N19" s="82">
        <f t="shared" si="0"/>
        <v>4.1188105224065491E-3</v>
      </c>
      <c r="O19" s="82">
        <f t="shared" si="0"/>
        <v>3.9952063300014379E-3</v>
      </c>
      <c r="P19" s="82">
        <f t="shared" si="0"/>
        <v>9.643949583892484E-5</v>
      </c>
      <c r="Q19" s="83">
        <f t="shared" si="0"/>
        <v>6.4512409061153395E-3</v>
      </c>
      <c r="R19" s="26"/>
      <c r="S19" s="27"/>
    </row>
    <row r="20" spans="1:19" ht="15.75" thickBot="1" x14ac:dyDescent="0.3">
      <c r="A20" s="31" t="s">
        <v>88</v>
      </c>
      <c r="B20" s="23"/>
      <c r="C20" s="39" t="s">
        <v>88</v>
      </c>
      <c r="D20" s="84">
        <f>SUM(D8:D19)</f>
        <v>761.3700201836831</v>
      </c>
      <c r="E20" s="84">
        <f t="shared" ref="E20:Q20" si="2">SUM(E8:E19)</f>
        <v>0.18613889128695579</v>
      </c>
      <c r="F20" s="84">
        <f t="shared" si="2"/>
        <v>5004.0375547909871</v>
      </c>
      <c r="G20" s="84">
        <f t="shared" si="2"/>
        <v>141.30658106319376</v>
      </c>
      <c r="H20" s="84">
        <f t="shared" si="2"/>
        <v>136.56994517848651</v>
      </c>
      <c r="I20" s="84">
        <f t="shared" si="2"/>
        <v>2.6573252394011</v>
      </c>
      <c r="J20" s="84">
        <f t="shared" si="2"/>
        <v>236.34540606012601</v>
      </c>
      <c r="K20" s="84">
        <f t="shared" si="2"/>
        <v>2.0859452607772142</v>
      </c>
      <c r="L20" s="84">
        <f t="shared" si="2"/>
        <v>5.0996956516974183E-4</v>
      </c>
      <c r="M20" s="84">
        <f t="shared" si="2"/>
        <v>13.709691930934211</v>
      </c>
      <c r="N20" s="84">
        <f t="shared" si="2"/>
        <v>0.38714131798135276</v>
      </c>
      <c r="O20" s="84">
        <f t="shared" si="2"/>
        <v>0.37416423336571653</v>
      </c>
      <c r="P20" s="84">
        <f t="shared" si="2"/>
        <v>7.2803431216468479E-3</v>
      </c>
      <c r="Q20" s="84">
        <f t="shared" si="2"/>
        <v>0.64752166043870152</v>
      </c>
      <c r="R20" s="26"/>
      <c r="S20" s="27"/>
    </row>
    <row r="21" spans="1:19" ht="15.75" thickBot="1" x14ac:dyDescent="0.3">
      <c r="A21" s="26" t="s">
        <v>58</v>
      </c>
      <c r="B21" s="28" t="s">
        <v>59</v>
      </c>
      <c r="C21" s="29" t="s">
        <v>40</v>
      </c>
      <c r="D21" s="85" t="s">
        <v>60</v>
      </c>
      <c r="E21" s="71" t="s">
        <v>61</v>
      </c>
      <c r="F21" s="71" t="s">
        <v>62</v>
      </c>
      <c r="G21" s="71" t="s">
        <v>63</v>
      </c>
      <c r="H21" s="71" t="s">
        <v>64</v>
      </c>
      <c r="I21" s="71" t="s">
        <v>65</v>
      </c>
      <c r="J21" s="86" t="s">
        <v>66</v>
      </c>
      <c r="K21" s="81" t="s">
        <v>67</v>
      </c>
      <c r="L21" s="82" t="s">
        <v>68</v>
      </c>
      <c r="M21" s="82" t="s">
        <v>69</v>
      </c>
      <c r="N21" s="82" t="s">
        <v>70</v>
      </c>
      <c r="O21" s="82" t="s">
        <v>71</v>
      </c>
      <c r="P21" s="82" t="s">
        <v>72</v>
      </c>
      <c r="Q21" s="83" t="s">
        <v>73</v>
      </c>
      <c r="R21" s="26"/>
      <c r="S21" s="27"/>
    </row>
    <row r="22" spans="1:19" x14ac:dyDescent="0.25">
      <c r="A22" s="11"/>
      <c r="B22" s="40"/>
      <c r="C22" s="12"/>
      <c r="D22" s="70">
        <f>DSUM('2020 NEI COMPILE 2017-20 CTYSCC'!$D$7:$AD$64,'2020 NEI COMPILE 2017-20 CTYSCC'!X$7,'2020 RAIL CTY NAA TPY TPD'!$C$34:$C$35)</f>
        <v>151.51267453196721</v>
      </c>
      <c r="E22" s="70">
        <f>DSUM('2020 NEI COMPILE 2017-20 CTYSCC'!$D$7:$AD$64,'2020 NEI COMPILE 2017-20 CTYSCC'!Y$7,'2020 RAIL CTY NAA TPY TPD'!$C$34:$C$35)</f>
        <v>3.7129817528641432E-2</v>
      </c>
      <c r="F22" s="70">
        <f>DSUM('2020 NEI COMPILE 2017-20 CTYSCC'!$D$7:$AD$64,'2020 NEI COMPILE 2017-20 CTYSCC'!Z$7,'2020 RAIL CTY NAA TPY TPD'!$C$34:$C$35)</f>
        <v>1028.4835049219851</v>
      </c>
      <c r="G22" s="70">
        <f>DSUM('2020 NEI COMPILE 2017-20 CTYSCC'!$D$7:$AD$64,'2020 NEI COMPILE 2017-20 CTYSCC'!AA$7,'2020 RAIL CTY NAA TPY TPD'!$C$34:$C$35)</f>
        <v>29.310394510423947</v>
      </c>
      <c r="H22" s="70">
        <f>DSUM('2020 NEI COMPILE 2017-20 CTYSCC'!$D$7:$AD$64,'2020 NEI COMPILE 2017-20 CTYSCC'!AB$7,'2020 RAIL CTY NAA TPY TPD'!$C$34:$C$35)</f>
        <v>28.431034027069494</v>
      </c>
      <c r="I22" s="70">
        <f>DSUM('2020 NEI COMPILE 2017-20 CTYSCC'!$D$7:$AD$64,'2020 NEI COMPILE 2017-20 CTYSCC'!AC$7,'2020 RAIL CTY NAA TPY TPD'!$C$34:$C$35)</f>
        <v>0.53376776092049449</v>
      </c>
      <c r="J22" s="70">
        <f>DSUM('2020 NEI COMPILE 2017-20 CTYSCC'!$D$7:$AD$64,'2020 NEI COMPILE 2017-20 CTYSCC'!AD$7,'2020 RAIL CTY NAA TPY TPD'!$C$34:$C$35)</f>
        <v>46.757466326239658</v>
      </c>
      <c r="K22" s="77"/>
      <c r="L22" s="76"/>
      <c r="M22" s="76"/>
      <c r="N22" s="76"/>
      <c r="O22" s="76"/>
      <c r="P22" s="76"/>
      <c r="Q22" s="78"/>
      <c r="R22" s="26"/>
      <c r="S22" s="27"/>
    </row>
    <row r="23" spans="1:19" x14ac:dyDescent="0.25">
      <c r="A23" s="26" t="s">
        <v>89</v>
      </c>
      <c r="B23" s="41" t="s">
        <v>90</v>
      </c>
      <c r="C23" s="42" t="s">
        <v>91</v>
      </c>
      <c r="D23" s="76">
        <f t="dataTable" ref="D23:J31" dt2D="0" dtr="0" r1="C35"/>
        <v>17.140609677432614</v>
      </c>
      <c r="E23" s="76">
        <v>4.1923725259998563E-3</v>
      </c>
      <c r="F23" s="76">
        <v>126.1942631043471</v>
      </c>
      <c r="G23" s="76">
        <v>3.5480021940823585</v>
      </c>
      <c r="H23" s="76">
        <v>3.4415621219710535</v>
      </c>
      <c r="I23" s="76">
        <v>6.0407693465999633E-2</v>
      </c>
      <c r="J23" s="87">
        <v>5.6382346116400512</v>
      </c>
      <c r="K23" s="77">
        <f>D23/365</f>
        <v>4.6960574458719491E-2</v>
      </c>
      <c r="L23" s="76">
        <f t="shared" ref="L23:Q31" si="3">E23/365</f>
        <v>1.1485952126027003E-5</v>
      </c>
      <c r="M23" s="76">
        <f t="shared" si="3"/>
        <v>0.34573770713519753</v>
      </c>
      <c r="N23" s="76">
        <f t="shared" si="3"/>
        <v>9.7205539563900226E-3</v>
      </c>
      <c r="O23" s="76">
        <f t="shared" si="3"/>
        <v>9.4289373204686396E-3</v>
      </c>
      <c r="P23" s="76">
        <f t="shared" si="3"/>
        <v>1.655005300438346E-4</v>
      </c>
      <c r="Q23" s="78">
        <f t="shared" si="3"/>
        <v>1.5447218114082333E-2</v>
      </c>
      <c r="R23" s="26"/>
      <c r="S23" s="27"/>
    </row>
    <row r="24" spans="1:19" x14ac:dyDescent="0.25">
      <c r="A24" s="26" t="s">
        <v>89</v>
      </c>
      <c r="B24" s="12" t="s">
        <v>92</v>
      </c>
      <c r="C24" s="36" t="s">
        <v>93</v>
      </c>
      <c r="D24" s="76">
        <v>2.024645008560781</v>
      </c>
      <c r="E24" s="76">
        <v>4.9484056570453419E-4</v>
      </c>
      <c r="F24" s="76">
        <v>13.384750835562023</v>
      </c>
      <c r="G24" s="76">
        <v>0.37051375718040924</v>
      </c>
      <c r="H24" s="76">
        <v>0.35939834446499697</v>
      </c>
      <c r="I24" s="76">
        <v>7.0367914306795135E-3</v>
      </c>
      <c r="J24" s="87">
        <v>0.67907712258534292</v>
      </c>
      <c r="K24" s="77">
        <f t="shared" ref="K24:K31" si="4">D24/365</f>
        <v>5.5469726261939203E-3</v>
      </c>
      <c r="L24" s="76">
        <f t="shared" si="3"/>
        <v>1.3557275772726963E-6</v>
      </c>
      <c r="M24" s="76">
        <f t="shared" si="3"/>
        <v>3.6670550234416503E-2</v>
      </c>
      <c r="N24" s="76">
        <f t="shared" si="3"/>
        <v>1.0151061840559157E-3</v>
      </c>
      <c r="O24" s="76">
        <f t="shared" si="3"/>
        <v>9.8465299853423829E-4</v>
      </c>
      <c r="P24" s="76">
        <f t="shared" si="3"/>
        <v>1.9278880631998666E-5</v>
      </c>
      <c r="Q24" s="78">
        <f t="shared" si="3"/>
        <v>1.860485267357104E-3</v>
      </c>
      <c r="R24" s="26"/>
      <c r="S24" s="27"/>
    </row>
    <row r="25" spans="1:19" x14ac:dyDescent="0.25">
      <c r="A25" s="26" t="s">
        <v>89</v>
      </c>
      <c r="B25" s="12" t="s">
        <v>94</v>
      </c>
      <c r="C25" s="36" t="s">
        <v>95</v>
      </c>
      <c r="D25" s="76">
        <v>31.61583590109117</v>
      </c>
      <c r="E25" s="76">
        <v>7.6627775491578329E-3</v>
      </c>
      <c r="F25" s="76">
        <v>213.60361324055194</v>
      </c>
      <c r="G25" s="76">
        <v>5.8756414368196666</v>
      </c>
      <c r="H25" s="76">
        <v>5.7119691770751277</v>
      </c>
      <c r="I25" s="76">
        <v>0.10974502965177468</v>
      </c>
      <c r="J25" s="72">
        <v>10.873700112146523</v>
      </c>
      <c r="K25" s="77">
        <f t="shared" si="4"/>
        <v>8.661872849614019E-2</v>
      </c>
      <c r="L25" s="76">
        <f t="shared" si="3"/>
        <v>2.0993911093583103E-5</v>
      </c>
      <c r="M25" s="76">
        <f t="shared" si="3"/>
        <v>0.58521537874123819</v>
      </c>
      <c r="N25" s="76">
        <f t="shared" si="3"/>
        <v>1.6097647772108675E-2</v>
      </c>
      <c r="O25" s="76">
        <f t="shared" si="3"/>
        <v>1.5649230622123637E-2</v>
      </c>
      <c r="P25" s="76">
        <f t="shared" si="3"/>
        <v>3.0067131411445121E-4</v>
      </c>
      <c r="Q25" s="78">
        <f t="shared" si="3"/>
        <v>2.9790959211360338E-2</v>
      </c>
      <c r="R25" s="26"/>
      <c r="S25" s="27"/>
    </row>
    <row r="26" spans="1:19" x14ac:dyDescent="0.25">
      <c r="A26" s="26" t="s">
        <v>89</v>
      </c>
      <c r="B26" s="12" t="s">
        <v>96</v>
      </c>
      <c r="C26" s="36" t="s">
        <v>97</v>
      </c>
      <c r="D26" s="76">
        <v>0.49150112131429985</v>
      </c>
      <c r="E26" s="76">
        <v>1.2188178177635987E-4</v>
      </c>
      <c r="F26" s="76">
        <v>3.4918216678478236</v>
      </c>
      <c r="G26" s="76">
        <v>9.9779762046930787E-2</v>
      </c>
      <c r="H26" s="76">
        <v>9.6786378316425253E-2</v>
      </c>
      <c r="I26" s="76">
        <v>1.7332457026000257E-3</v>
      </c>
      <c r="J26" s="72">
        <v>0.15755204550147295</v>
      </c>
      <c r="K26" s="77">
        <f t="shared" si="4"/>
        <v>1.3465784145597257E-3</v>
      </c>
      <c r="L26" s="76">
        <f t="shared" si="3"/>
        <v>3.3392268979824621E-7</v>
      </c>
      <c r="M26" s="76">
        <f t="shared" si="3"/>
        <v>9.5666347064323927E-3</v>
      </c>
      <c r="N26" s="76">
        <f t="shared" si="3"/>
        <v>2.7336921108748162E-4</v>
      </c>
      <c r="O26" s="76">
        <f t="shared" si="3"/>
        <v>2.6516815977102809E-4</v>
      </c>
      <c r="P26" s="76">
        <f t="shared" si="3"/>
        <v>4.7486183632877417E-6</v>
      </c>
      <c r="Q26" s="78">
        <f t="shared" si="3"/>
        <v>4.316494397300629E-4</v>
      </c>
      <c r="R26" s="26"/>
      <c r="S26" s="27"/>
    </row>
    <row r="27" spans="1:19" x14ac:dyDescent="0.25">
      <c r="A27" s="26" t="s">
        <v>89</v>
      </c>
      <c r="B27" s="12" t="s">
        <v>98</v>
      </c>
      <c r="C27" s="36" t="s">
        <v>99</v>
      </c>
      <c r="D27" s="88">
        <v>6.8653066694603488</v>
      </c>
      <c r="E27" s="76">
        <v>1.6915051482525806E-3</v>
      </c>
      <c r="F27" s="76">
        <v>48.742598547270369</v>
      </c>
      <c r="G27" s="76">
        <v>1.3725785222636242</v>
      </c>
      <c r="H27" s="76">
        <v>1.3314018048457925</v>
      </c>
      <c r="I27" s="76">
        <v>2.4054102401233304E-2</v>
      </c>
      <c r="J27" s="72">
        <v>2.3100741254231352</v>
      </c>
      <c r="K27" s="77">
        <f t="shared" si="4"/>
        <v>1.8809059368384517E-2</v>
      </c>
      <c r="L27" s="76">
        <f t="shared" si="3"/>
        <v>4.6342606801440561E-6</v>
      </c>
      <c r="M27" s="76">
        <f t="shared" si="3"/>
        <v>0.13354136588293253</v>
      </c>
      <c r="N27" s="76">
        <f t="shared" si="3"/>
        <v>3.7604891020921209E-3</v>
      </c>
      <c r="O27" s="76">
        <f t="shared" si="3"/>
        <v>3.6476761776597054E-3</v>
      </c>
      <c r="P27" s="76">
        <f t="shared" si="3"/>
        <v>6.5901650414337817E-5</v>
      </c>
      <c r="Q27" s="78">
        <f t="shared" si="3"/>
        <v>6.3289702066387267E-3</v>
      </c>
      <c r="R27" s="26"/>
      <c r="S27" s="27"/>
    </row>
    <row r="28" spans="1:19" x14ac:dyDescent="0.25">
      <c r="A28" s="26" t="s">
        <v>89</v>
      </c>
      <c r="B28" s="12" t="s">
        <v>100</v>
      </c>
      <c r="C28" s="36" t="s">
        <v>101</v>
      </c>
      <c r="D28" s="76">
        <v>9.585869999654097</v>
      </c>
      <c r="E28" s="76">
        <v>2.365950071232473E-3</v>
      </c>
      <c r="F28" s="76">
        <v>66.20324659082624</v>
      </c>
      <c r="G28" s="76">
        <v>1.8738608632581573</v>
      </c>
      <c r="H28" s="76">
        <v>1.8176449104408694</v>
      </c>
      <c r="I28" s="76">
        <v>3.3645180061632494E-2</v>
      </c>
      <c r="J28" s="72">
        <v>3.1036805826583302</v>
      </c>
      <c r="K28" s="77">
        <f t="shared" si="4"/>
        <v>2.6262657533298896E-2</v>
      </c>
      <c r="L28" s="76">
        <f t="shared" si="3"/>
        <v>6.4820549896780078E-6</v>
      </c>
      <c r="M28" s="76">
        <f t="shared" si="3"/>
        <v>0.1813787577830856</v>
      </c>
      <c r="N28" s="76">
        <f t="shared" si="3"/>
        <v>5.1338653787894716E-3</v>
      </c>
      <c r="O28" s="76">
        <f t="shared" si="3"/>
        <v>4.9798490697010121E-3</v>
      </c>
      <c r="P28" s="76">
        <f t="shared" si="3"/>
        <v>9.2178575511321905E-5</v>
      </c>
      <c r="Q28" s="78">
        <f t="shared" si="3"/>
        <v>8.5032344730365216E-3</v>
      </c>
      <c r="R28" s="26"/>
      <c r="S28" s="27"/>
    </row>
    <row r="29" spans="1:19" x14ac:dyDescent="0.25">
      <c r="A29" s="26" t="s">
        <v>89</v>
      </c>
      <c r="B29" s="12" t="s">
        <v>102</v>
      </c>
      <c r="C29" s="36" t="s">
        <v>103</v>
      </c>
      <c r="D29" s="76">
        <v>18.388456933373085</v>
      </c>
      <c r="E29" s="76">
        <v>4.533953064161168E-3</v>
      </c>
      <c r="F29" s="76">
        <v>105.67737179611588</v>
      </c>
      <c r="G29" s="76">
        <v>3.0135994074589867</v>
      </c>
      <c r="H29" s="76">
        <v>2.9231722947909886</v>
      </c>
      <c r="I29" s="76">
        <v>6.5012018088083545E-2</v>
      </c>
      <c r="J29" s="72">
        <v>4.7521055497333569</v>
      </c>
      <c r="K29" s="77">
        <f t="shared" si="4"/>
        <v>5.0379334064035851E-2</v>
      </c>
      <c r="L29" s="76">
        <f t="shared" si="3"/>
        <v>1.2421789216879911E-5</v>
      </c>
      <c r="M29" s="76">
        <f t="shared" si="3"/>
        <v>0.28952704601675583</v>
      </c>
      <c r="N29" s="76">
        <f t="shared" si="3"/>
        <v>8.2564367327643464E-3</v>
      </c>
      <c r="O29" s="76">
        <f t="shared" si="3"/>
        <v>8.0086912186054481E-3</v>
      </c>
      <c r="P29" s="76">
        <f t="shared" si="3"/>
        <v>1.7811511804954395E-4</v>
      </c>
      <c r="Q29" s="78">
        <f t="shared" si="3"/>
        <v>1.3019467259543444E-2</v>
      </c>
      <c r="R29" s="26"/>
      <c r="S29" s="27"/>
    </row>
    <row r="30" spans="1:19" x14ac:dyDescent="0.25">
      <c r="A30" s="26" t="s">
        <v>89</v>
      </c>
      <c r="B30" s="12" t="s">
        <v>104</v>
      </c>
      <c r="C30" s="36" t="s">
        <v>105</v>
      </c>
      <c r="D30" s="76">
        <v>2.9975110443942921</v>
      </c>
      <c r="E30" s="76">
        <v>7.3303997680344369E-4</v>
      </c>
      <c r="F30" s="76">
        <v>22.19766860008809</v>
      </c>
      <c r="G30" s="76">
        <v>0.62427181348230798</v>
      </c>
      <c r="H30" s="76">
        <v>0.60554364635939106</v>
      </c>
      <c r="I30" s="76">
        <v>1.0570517653893823E-2</v>
      </c>
      <c r="J30" s="72">
        <v>0.99973709068686467</v>
      </c>
      <c r="K30" s="77">
        <f t="shared" si="4"/>
        <v>8.2123590257377858E-3</v>
      </c>
      <c r="L30" s="76">
        <f t="shared" si="3"/>
        <v>2.0083287035710784E-6</v>
      </c>
      <c r="M30" s="76">
        <f t="shared" si="3"/>
        <v>6.0815530411200247E-2</v>
      </c>
      <c r="N30" s="76">
        <f t="shared" si="3"/>
        <v>1.7103337355679671E-3</v>
      </c>
      <c r="O30" s="76">
        <f t="shared" si="3"/>
        <v>1.659023688655866E-3</v>
      </c>
      <c r="P30" s="76">
        <f t="shared" si="3"/>
        <v>2.8960322339435129E-5</v>
      </c>
      <c r="Q30" s="78">
        <f t="shared" si="3"/>
        <v>2.7390057279092182E-3</v>
      </c>
      <c r="R30" s="26"/>
      <c r="S30" s="27"/>
    </row>
    <row r="31" spans="1:19" ht="15.75" thickBot="1" x14ac:dyDescent="0.3">
      <c r="A31" s="26" t="s">
        <v>89</v>
      </c>
      <c r="B31" s="43" t="s">
        <v>106</v>
      </c>
      <c r="C31" s="44" t="s">
        <v>107</v>
      </c>
      <c r="D31" s="79">
        <v>5.4804430716979713</v>
      </c>
      <c r="E31" s="79">
        <v>1.3590335371373467E-3</v>
      </c>
      <c r="F31" s="79">
        <v>40.32241014691369</v>
      </c>
      <c r="G31" s="79">
        <v>1.1502152086139672</v>
      </c>
      <c r="H31" s="79">
        <v>1.1157086153920124</v>
      </c>
      <c r="I31" s="79">
        <v>1.9326405892220413E-2</v>
      </c>
      <c r="J31" s="80">
        <v>1.8165473037045081</v>
      </c>
      <c r="K31" s="77">
        <f t="shared" si="4"/>
        <v>1.5014912525199922E-2</v>
      </c>
      <c r="L31" s="76">
        <f t="shared" si="3"/>
        <v>3.7233795538009497E-6</v>
      </c>
      <c r="M31" s="76">
        <f t="shared" si="3"/>
        <v>0.11047235656688682</v>
      </c>
      <c r="N31" s="76">
        <f t="shared" si="3"/>
        <v>3.1512745441478552E-3</v>
      </c>
      <c r="O31" s="76">
        <f t="shared" si="3"/>
        <v>3.0567359325808559E-3</v>
      </c>
      <c r="P31" s="76">
        <f t="shared" si="3"/>
        <v>5.2949057238960036E-5</v>
      </c>
      <c r="Q31" s="78">
        <f t="shared" si="3"/>
        <v>4.9768419279575564E-3</v>
      </c>
      <c r="R31" s="26"/>
      <c r="S31" s="27"/>
    </row>
    <row r="32" spans="1:19" ht="15.75" thickBot="1" x14ac:dyDescent="0.3">
      <c r="A32" s="31" t="s">
        <v>108</v>
      </c>
      <c r="B32" s="23"/>
      <c r="C32" s="39"/>
      <c r="D32" s="89">
        <f>SUM(D23:D31)</f>
        <v>94.590179426978665</v>
      </c>
      <c r="E32" s="89">
        <f t="shared" ref="E32:Q32" si="5">SUM(E23:E31)</f>
        <v>2.3155354220225598E-2</v>
      </c>
      <c r="F32" s="89">
        <f t="shared" si="5"/>
        <v>639.81774452952311</v>
      </c>
      <c r="G32" s="89">
        <f t="shared" si="5"/>
        <v>17.92846296520641</v>
      </c>
      <c r="H32" s="89">
        <f t="shared" si="5"/>
        <v>17.403187293656657</v>
      </c>
      <c r="I32" s="89">
        <f t="shared" si="5"/>
        <v>0.3315309843481174</v>
      </c>
      <c r="J32" s="89">
        <f t="shared" si="5"/>
        <v>30.330708544079584</v>
      </c>
      <c r="K32" s="89">
        <f t="shared" si="5"/>
        <v>0.25915117651227032</v>
      </c>
      <c r="L32" s="89">
        <f t="shared" si="5"/>
        <v>6.343932663075505E-5</v>
      </c>
      <c r="M32" s="89">
        <f t="shared" si="5"/>
        <v>1.7529253274781458</v>
      </c>
      <c r="N32" s="89">
        <f t="shared" si="5"/>
        <v>4.9119076617003862E-2</v>
      </c>
      <c r="O32" s="89">
        <f t="shared" si="5"/>
        <v>4.7679965188100436E-2</v>
      </c>
      <c r="P32" s="89">
        <f t="shared" si="5"/>
        <v>9.0830406670717111E-4</v>
      </c>
      <c r="Q32" s="89">
        <f t="shared" si="5"/>
        <v>8.3097831627615318E-2</v>
      </c>
      <c r="R32" s="26"/>
      <c r="S32" s="27"/>
    </row>
    <row r="33" spans="1:19" ht="15.75" thickBot="1" x14ac:dyDescent="0.3">
      <c r="A33" s="111" t="s">
        <v>109</v>
      </c>
      <c r="B33" s="112"/>
      <c r="C33" s="112"/>
      <c r="D33" s="90">
        <f>D32+D20</f>
        <v>855.96019961066179</v>
      </c>
      <c r="E33" s="84">
        <f t="shared" ref="E33:Q33" si="6">E32+E20</f>
        <v>0.2092942455071814</v>
      </c>
      <c r="F33" s="84">
        <f t="shared" si="6"/>
        <v>5643.8552993205103</v>
      </c>
      <c r="G33" s="84">
        <f t="shared" si="6"/>
        <v>159.23504402840018</v>
      </c>
      <c r="H33" s="84">
        <f t="shared" si="6"/>
        <v>153.97313247214316</v>
      </c>
      <c r="I33" s="84">
        <f t="shared" si="6"/>
        <v>2.9888562237492176</v>
      </c>
      <c r="J33" s="90">
        <f t="shared" si="6"/>
        <v>266.67611460420562</v>
      </c>
      <c r="K33" s="91">
        <f t="shared" si="6"/>
        <v>2.3450964372894845</v>
      </c>
      <c r="L33" s="92">
        <f t="shared" si="6"/>
        <v>5.7340889180049692E-4</v>
      </c>
      <c r="M33" s="92">
        <f t="shared" si="6"/>
        <v>15.462617258412356</v>
      </c>
      <c r="N33" s="92">
        <f t="shared" si="6"/>
        <v>0.43626039459835664</v>
      </c>
      <c r="O33" s="92">
        <f t="shared" si="6"/>
        <v>0.42184419855381694</v>
      </c>
      <c r="P33" s="92">
        <f t="shared" si="6"/>
        <v>8.1886471883540184E-3</v>
      </c>
      <c r="Q33" s="93">
        <f t="shared" si="6"/>
        <v>0.73061949206631682</v>
      </c>
      <c r="R33" s="26"/>
      <c r="S33" s="27"/>
    </row>
    <row r="34" spans="1:19" ht="30.75" thickBot="1" x14ac:dyDescent="0.3">
      <c r="B34" s="45"/>
      <c r="C34" s="7" t="s">
        <v>40</v>
      </c>
      <c r="D34" s="69">
        <f>'2020 NEI COMPILE 2017-20 CTYSCC'!X65</f>
        <v>0</v>
      </c>
      <c r="E34" s="69">
        <f>'2020 NEI COMPILE 2017-20 CTYSCC'!Y65</f>
        <v>0</v>
      </c>
      <c r="F34" s="69">
        <f>'2020 NEI COMPILE 2017-20 CTYSCC'!Z65</f>
        <v>0</v>
      </c>
      <c r="G34" s="69">
        <f>'2020 NEI COMPILE 2017-20 CTYSCC'!AA65</f>
        <v>0</v>
      </c>
      <c r="H34" s="69">
        <f>'2020 NEI COMPILE 2017-20 CTYSCC'!AB65</f>
        <v>0</v>
      </c>
      <c r="I34" s="69">
        <f>'2020 NEI COMPILE 2017-20 CTYSCC'!AC65</f>
        <v>0</v>
      </c>
      <c r="J34" s="69">
        <f>'2020 NEI COMPILE 2017-20 CTYSCC'!AD65</f>
        <v>0</v>
      </c>
      <c r="K34" s="46"/>
      <c r="L34" s="46"/>
    </row>
    <row r="35" spans="1:19" x14ac:dyDescent="0.25">
      <c r="C35" s="33" t="s">
        <v>75</v>
      </c>
    </row>
  </sheetData>
  <mergeCells count="1">
    <mergeCell ref="A33:C33"/>
  </mergeCells>
  <pageMargins left="0.7" right="0.7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A039E-A7A7-4833-A4C5-B3C5582921B0}">
  <dimension ref="A1:AN66"/>
  <sheetViews>
    <sheetView topLeftCell="M33" workbookViewId="0">
      <selection activeCell="AP49" sqref="AP49"/>
    </sheetView>
  </sheetViews>
  <sheetFormatPr defaultRowHeight="15" x14ac:dyDescent="0.25"/>
  <cols>
    <col min="5" max="5" width="11.85546875" bestFit="1" customWidth="1"/>
    <col min="6" max="6" width="12.85546875" bestFit="1" customWidth="1"/>
    <col min="7" max="7" width="16.28515625" customWidth="1"/>
    <col min="8" max="11" width="26.7109375" customWidth="1"/>
    <col min="12" max="12" width="34.140625" customWidth="1"/>
    <col min="13" max="13" width="8.5703125" bestFit="1" customWidth="1"/>
    <col min="14" max="14" width="9.7109375" bestFit="1" customWidth="1"/>
    <col min="15" max="15" width="10" bestFit="1" customWidth="1"/>
    <col min="16" max="17" width="14.5703125" bestFit="1" customWidth="1"/>
    <col min="18" max="18" width="9.42578125" bestFit="1" customWidth="1"/>
    <col min="19" max="19" width="9.85546875" bestFit="1" customWidth="1"/>
    <col min="20" max="20" width="3.28515625" bestFit="1" customWidth="1"/>
    <col min="21" max="21" width="7.7109375" bestFit="1" customWidth="1"/>
    <col min="22" max="22" width="9" bestFit="1" customWidth="1"/>
    <col min="23" max="23" width="6.5703125" bestFit="1" customWidth="1"/>
    <col min="24" max="24" width="8.5703125" bestFit="1" customWidth="1"/>
    <col min="25" max="25" width="9.7109375" bestFit="1" customWidth="1"/>
    <col min="26" max="26" width="10" bestFit="1" customWidth="1"/>
    <col min="27" max="28" width="14.5703125" bestFit="1" customWidth="1"/>
    <col min="29" max="29" width="9.42578125" bestFit="1" customWidth="1"/>
    <col min="30" max="30" width="9.85546875" bestFit="1" customWidth="1"/>
    <col min="31" max="31" width="3.5703125" bestFit="1" customWidth="1"/>
    <col min="32" max="32" width="4.7109375" bestFit="1" customWidth="1"/>
    <col min="33" max="33" width="5" bestFit="1" customWidth="1"/>
    <col min="34" max="35" width="9.42578125" bestFit="1" customWidth="1"/>
    <col min="36" max="36" width="4.42578125" bestFit="1" customWidth="1"/>
    <col min="37" max="37" width="4.85546875" bestFit="1" customWidth="1"/>
    <col min="38" max="39" width="8" bestFit="1" customWidth="1"/>
    <col min="43" max="43" width="10" bestFit="1" customWidth="1"/>
  </cols>
  <sheetData>
    <row r="1" spans="1:40" x14ac:dyDescent="0.25">
      <c r="A1" s="95" t="s">
        <v>168</v>
      </c>
      <c r="K1" s="4"/>
    </row>
    <row r="2" spans="1:40" x14ac:dyDescent="0.25">
      <c r="A2" s="94" t="s">
        <v>169</v>
      </c>
      <c r="B2" s="1"/>
      <c r="C2" s="1"/>
      <c r="D2" s="1"/>
      <c r="E2" s="1"/>
      <c r="F2" s="1"/>
      <c r="G2" s="1"/>
      <c r="H2" s="1"/>
      <c r="I2" s="1"/>
      <c r="J2" s="1"/>
      <c r="K2" s="94"/>
    </row>
    <row r="3" spans="1:40" x14ac:dyDescent="0.25">
      <c r="A3" s="4" t="s">
        <v>147</v>
      </c>
      <c r="B3" s="1"/>
      <c r="C3" s="1"/>
      <c r="E3" s="1"/>
      <c r="F3" s="1"/>
      <c r="G3" s="1"/>
      <c r="H3" s="1"/>
      <c r="I3" s="1"/>
      <c r="J3" s="1"/>
      <c r="K3" s="4"/>
    </row>
    <row r="4" spans="1:40" x14ac:dyDescent="0.25">
      <c r="A4" s="2" t="s">
        <v>0</v>
      </c>
      <c r="B4" s="1"/>
      <c r="C4" s="1"/>
      <c r="D4" s="1"/>
      <c r="E4" s="1"/>
      <c r="F4" s="1"/>
      <c r="G4" s="1"/>
      <c r="H4" s="1"/>
      <c r="I4" s="1"/>
      <c r="J4" s="1"/>
      <c r="K4" s="116"/>
      <c r="L4" s="117"/>
      <c r="M4" s="117"/>
      <c r="N4" s="117"/>
      <c r="O4" s="117"/>
      <c r="P4" s="117"/>
      <c r="Q4" s="117"/>
      <c r="R4" s="117"/>
      <c r="S4" s="117"/>
      <c r="T4" s="117"/>
    </row>
    <row r="5" spans="1:40" ht="15.75" thickBot="1" x14ac:dyDescent="0.3">
      <c r="A5" s="3" t="s">
        <v>39</v>
      </c>
      <c r="B5" s="1"/>
      <c r="C5" s="1"/>
      <c r="D5" s="1"/>
      <c r="E5" s="1"/>
      <c r="F5" s="1"/>
      <c r="G5" s="1"/>
      <c r="H5" s="1"/>
      <c r="I5" s="1"/>
      <c r="J5" s="1"/>
      <c r="K5" s="4"/>
    </row>
    <row r="6" spans="1:40" ht="15.75" thickBot="1" x14ac:dyDescent="0.3">
      <c r="A6" s="62"/>
      <c r="B6" s="63"/>
      <c r="C6" s="63"/>
      <c r="D6" s="63"/>
      <c r="E6" s="63"/>
      <c r="F6" s="63"/>
      <c r="G6" s="63"/>
      <c r="H6" s="63"/>
      <c r="I6" s="63"/>
      <c r="J6" s="63"/>
      <c r="K6" s="63"/>
      <c r="L6" s="65"/>
      <c r="M6" s="114" t="s">
        <v>149</v>
      </c>
      <c r="N6" s="113"/>
      <c r="O6" s="113"/>
      <c r="P6" s="113"/>
      <c r="Q6" s="113"/>
      <c r="R6" s="113"/>
      <c r="S6" s="115"/>
      <c r="T6" s="114" t="s">
        <v>148</v>
      </c>
      <c r="U6" s="113"/>
      <c r="V6" s="113"/>
      <c r="W6" s="115"/>
      <c r="X6" s="113" t="s">
        <v>150</v>
      </c>
      <c r="Y6" s="113"/>
      <c r="Z6" s="113"/>
      <c r="AA6" s="113"/>
      <c r="AB6" s="113"/>
      <c r="AC6" s="113"/>
      <c r="AD6" s="113"/>
      <c r="AE6" s="114" t="s">
        <v>151</v>
      </c>
      <c r="AF6" s="113"/>
      <c r="AG6" s="113"/>
      <c r="AH6" s="113"/>
      <c r="AI6" s="113"/>
      <c r="AJ6" s="113"/>
      <c r="AK6" s="115"/>
      <c r="AL6" s="66"/>
      <c r="AM6" s="24"/>
      <c r="AN6" s="25"/>
    </row>
    <row r="7" spans="1:40" ht="30" x14ac:dyDescent="0.25">
      <c r="A7" s="5" t="s">
        <v>1</v>
      </c>
      <c r="B7" s="6" t="s">
        <v>2</v>
      </c>
      <c r="C7" s="6" t="s">
        <v>3</v>
      </c>
      <c r="D7" s="7" t="s">
        <v>40</v>
      </c>
      <c r="E7" s="6" t="s">
        <v>4</v>
      </c>
      <c r="F7" s="6" t="s">
        <v>5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8" t="s">
        <v>46</v>
      </c>
      <c r="M7" s="5" t="s">
        <v>139</v>
      </c>
      <c r="N7" s="6" t="s">
        <v>140</v>
      </c>
      <c r="O7" s="6" t="s">
        <v>141</v>
      </c>
      <c r="P7" s="6" t="s">
        <v>142</v>
      </c>
      <c r="Q7" s="6" t="s">
        <v>143</v>
      </c>
      <c r="R7" s="6" t="s">
        <v>144</v>
      </c>
      <c r="S7" s="8" t="s">
        <v>145</v>
      </c>
      <c r="T7" s="5" t="s">
        <v>126</v>
      </c>
      <c r="U7" s="6" t="s">
        <v>127</v>
      </c>
      <c r="V7" s="6" t="s">
        <v>128</v>
      </c>
      <c r="W7" s="9" t="s">
        <v>129</v>
      </c>
      <c r="X7" s="5" t="s">
        <v>132</v>
      </c>
      <c r="Y7" s="10" t="s">
        <v>133</v>
      </c>
      <c r="Z7" s="6" t="s">
        <v>134</v>
      </c>
      <c r="AA7" s="6" t="s">
        <v>135</v>
      </c>
      <c r="AB7" s="6" t="s">
        <v>136</v>
      </c>
      <c r="AC7" s="6" t="s">
        <v>137</v>
      </c>
      <c r="AD7" s="9" t="s">
        <v>138</v>
      </c>
      <c r="AE7" s="5" t="s">
        <v>24</v>
      </c>
      <c r="AF7" s="6" t="s">
        <v>9</v>
      </c>
      <c r="AG7" s="6" t="s">
        <v>23</v>
      </c>
      <c r="AH7" s="6" t="s">
        <v>12</v>
      </c>
      <c r="AI7" s="6" t="s">
        <v>14</v>
      </c>
      <c r="AJ7" s="6" t="s">
        <v>20</v>
      </c>
      <c r="AK7" s="9" t="s">
        <v>18</v>
      </c>
      <c r="AL7" s="10" t="s">
        <v>47</v>
      </c>
      <c r="AM7" s="8" t="s">
        <v>48</v>
      </c>
      <c r="AN7" s="67"/>
    </row>
    <row r="8" spans="1:40" x14ac:dyDescent="0.25">
      <c r="A8" s="11" t="s">
        <v>6</v>
      </c>
      <c r="B8" s="12">
        <v>34</v>
      </c>
      <c r="C8" s="12"/>
      <c r="D8" s="12">
        <v>34001</v>
      </c>
      <c r="E8" s="12" t="s">
        <v>7</v>
      </c>
      <c r="F8" s="12" t="s">
        <v>36</v>
      </c>
      <c r="G8" s="12">
        <v>28500201</v>
      </c>
      <c r="H8" s="123" t="s">
        <v>49</v>
      </c>
      <c r="I8" s="123" t="s">
        <v>50</v>
      </c>
      <c r="J8" s="123" t="s">
        <v>51</v>
      </c>
      <c r="K8" s="123" t="s">
        <v>52</v>
      </c>
      <c r="L8" s="124" t="s">
        <v>53</v>
      </c>
      <c r="M8" s="11">
        <v>0.24348185999999999</v>
      </c>
      <c r="N8" s="12">
        <v>4.8807879999999998E-2</v>
      </c>
      <c r="O8" s="12">
        <v>5.6207960000000003</v>
      </c>
      <c r="P8" s="12">
        <v>3.6791659999999999</v>
      </c>
      <c r="Q8" s="12">
        <v>3.568791</v>
      </c>
      <c r="R8" s="12">
        <v>8.2184230000000003E-4</v>
      </c>
      <c r="S8" s="13">
        <v>0.26085560000000002</v>
      </c>
      <c r="T8" s="64">
        <v>1.0195107175208789</v>
      </c>
      <c r="U8" s="12">
        <v>8.0804333308599929E-2</v>
      </c>
      <c r="V8" s="12">
        <v>0.10438387423935092</v>
      </c>
      <c r="W8" s="14">
        <v>0.10508474576271187</v>
      </c>
      <c r="X8" s="11">
        <f t="shared" ref="X8:X39" si="0">M8*T8</f>
        <v>0.24823236579191815</v>
      </c>
      <c r="Y8" s="15">
        <f t="shared" ref="Y8:Y39" si="1">N8*U8</f>
        <v>3.943888203606148E-3</v>
      </c>
      <c r="Z8" s="12">
        <f t="shared" ref="Z8:Z39" si="2">O8*T8*(1-U8)</f>
        <v>5.2674156206889693</v>
      </c>
      <c r="AA8" s="12">
        <f t="shared" ref="AA8:AA39" si="3">P8*T8*(1-V8)</f>
        <v>3.3594105622515094</v>
      </c>
      <c r="AB8" s="12">
        <f t="shared" ref="AB8:AB39" si="4">T8*Q8*(1-V8)</f>
        <v>3.2586282271221596</v>
      </c>
      <c r="AC8" s="12">
        <f t="shared" ref="AC8:AC39" si="5">R8*T8</f>
        <v>8.3787703296200943E-4</v>
      </c>
      <c r="AD8" s="61">
        <f t="shared" ref="AD8:AD39" si="6">S8*(T8)*(1-W8)</f>
        <v>0.23799830881454101</v>
      </c>
      <c r="AE8" s="11">
        <f t="shared" ref="AE8:AE39" si="7">X8/365</f>
        <v>6.8008867340251552E-4</v>
      </c>
      <c r="AF8" s="12">
        <f t="shared" ref="AF8:AF39" si="8">Y8/365</f>
        <v>1.0805173160564789E-5</v>
      </c>
      <c r="AG8" s="12">
        <f t="shared" ref="AG8:AG39" si="9">Z8/365</f>
        <v>1.4431275673120464E-2</v>
      </c>
      <c r="AH8" s="12">
        <f t="shared" ref="AH8:AH39" si="10">AA8/365</f>
        <v>9.2038645541137245E-3</v>
      </c>
      <c r="AI8" s="12">
        <f t="shared" ref="AI8:AI39" si="11">AB8/365</f>
        <v>8.9277485674579722E-3</v>
      </c>
      <c r="AJ8" s="12">
        <f t="shared" ref="AJ8:AJ39" si="12">AC8/365</f>
        <v>2.2955535149644095E-6</v>
      </c>
      <c r="AK8" s="14">
        <f t="shared" ref="AK8:AK39" si="13">AD8/365</f>
        <v>6.5205016113572883E-4</v>
      </c>
      <c r="AL8" s="15" t="s">
        <v>10</v>
      </c>
      <c r="AM8" s="12" t="s">
        <v>11</v>
      </c>
      <c r="AN8" s="14"/>
    </row>
    <row r="9" spans="1:40" ht="30" x14ac:dyDescent="0.25">
      <c r="A9" s="11" t="s">
        <v>6</v>
      </c>
      <c r="B9" s="12">
        <v>34</v>
      </c>
      <c r="C9" s="12"/>
      <c r="D9" s="12">
        <v>34001</v>
      </c>
      <c r="E9" s="12" t="s">
        <v>7</v>
      </c>
      <c r="F9" s="12" t="s">
        <v>8</v>
      </c>
      <c r="G9" s="12">
        <v>2285002007</v>
      </c>
      <c r="H9" s="123" t="s">
        <v>49</v>
      </c>
      <c r="I9" s="123" t="s">
        <v>50</v>
      </c>
      <c r="J9" s="123" t="s">
        <v>51</v>
      </c>
      <c r="K9" s="123" t="s">
        <v>54</v>
      </c>
      <c r="L9" s="124" t="s">
        <v>53</v>
      </c>
      <c r="M9" s="11">
        <v>0.74979099999999999</v>
      </c>
      <c r="N9" s="12">
        <v>7.2922310000000001E-4</v>
      </c>
      <c r="O9" s="12">
        <v>1.5592900999999999</v>
      </c>
      <c r="P9" s="12">
        <v>0.16510349999999999</v>
      </c>
      <c r="Q9" s="12">
        <v>0.1601504</v>
      </c>
      <c r="R9" s="12">
        <v>2.6440869999999998E-3</v>
      </c>
      <c r="S9" s="13">
        <v>5.8153160000000002</v>
      </c>
      <c r="T9" s="64">
        <v>1.0195107175208789</v>
      </c>
      <c r="U9" s="12">
        <v>8.0804333308599929E-2</v>
      </c>
      <c r="V9" s="12">
        <v>0.10438387423935092</v>
      </c>
      <c r="W9" s="14">
        <v>0.10508474576271187</v>
      </c>
      <c r="X9" s="11">
        <f t="shared" si="0"/>
        <v>0.76441996040069726</v>
      </c>
      <c r="Y9" s="15">
        <f t="shared" si="1"/>
        <v>5.89243864287305E-5</v>
      </c>
      <c r="Z9" s="12">
        <f t="shared" si="2"/>
        <v>1.4612572720884487</v>
      </c>
      <c r="AA9" s="12">
        <f t="shared" si="3"/>
        <v>0.15075439427432522</v>
      </c>
      <c r="AB9" s="12">
        <f t="shared" si="4"/>
        <v>0.14623176701154667</v>
      </c>
      <c r="AC9" s="12">
        <f t="shared" si="5"/>
        <v>2.6956750345576278E-3</v>
      </c>
      <c r="AD9" s="61">
        <f t="shared" si="6"/>
        <v>5.3057529653269526</v>
      </c>
      <c r="AE9" s="11">
        <f t="shared" si="7"/>
        <v>2.0943012613717734E-3</v>
      </c>
      <c r="AF9" s="12">
        <f t="shared" si="8"/>
        <v>1.6143667514720684E-7</v>
      </c>
      <c r="AG9" s="12">
        <f t="shared" si="9"/>
        <v>4.0034445810642428E-3</v>
      </c>
      <c r="AH9" s="12">
        <f t="shared" si="10"/>
        <v>4.1302573773787732E-4</v>
      </c>
      <c r="AI9" s="12">
        <f t="shared" si="11"/>
        <v>4.0063497811382651E-4</v>
      </c>
      <c r="AJ9" s="12">
        <f t="shared" si="12"/>
        <v>7.3854110535825416E-6</v>
      </c>
      <c r="AK9" s="14">
        <f t="shared" si="13"/>
        <v>1.4536309494046445E-2</v>
      </c>
      <c r="AL9" s="15" t="s">
        <v>10</v>
      </c>
      <c r="AM9" s="12" t="s">
        <v>11</v>
      </c>
      <c r="AN9" s="14"/>
    </row>
    <row r="10" spans="1:40" ht="30" x14ac:dyDescent="0.25">
      <c r="A10" s="11" t="s">
        <v>6</v>
      </c>
      <c r="B10" s="12">
        <v>34</v>
      </c>
      <c r="C10" s="12"/>
      <c r="D10" s="12">
        <v>34001</v>
      </c>
      <c r="E10" s="12" t="s">
        <v>7</v>
      </c>
      <c r="F10" s="12" t="s">
        <v>8</v>
      </c>
      <c r="G10" s="12">
        <v>2285002009</v>
      </c>
      <c r="H10" s="123" t="s">
        <v>49</v>
      </c>
      <c r="I10" s="123" t="s">
        <v>50</v>
      </c>
      <c r="J10" s="123" t="s">
        <v>51</v>
      </c>
      <c r="K10" s="123" t="s">
        <v>55</v>
      </c>
      <c r="L10" s="124" t="s">
        <v>53</v>
      </c>
      <c r="M10" s="11">
        <v>15.599780000000001</v>
      </c>
      <c r="N10" s="12">
        <v>2.3459129999999998E-3</v>
      </c>
      <c r="O10" s="12">
        <v>125.71120000000001</v>
      </c>
      <c r="P10" s="12">
        <v>4.08636E-2</v>
      </c>
      <c r="Q10" s="12">
        <v>3.9637699999999998E-2</v>
      </c>
      <c r="R10" s="12">
        <v>5.5011560000000001E-2</v>
      </c>
      <c r="S10" s="13">
        <v>0.10212038</v>
      </c>
      <c r="T10" s="64">
        <v>1.0338579999999999</v>
      </c>
      <c r="U10" s="12">
        <v>8.0804333308599929E-2</v>
      </c>
      <c r="V10" s="12">
        <v>0.10438387423935092</v>
      </c>
      <c r="W10" s="14">
        <v>0.10508474576271187</v>
      </c>
      <c r="X10" s="11">
        <f t="shared" si="0"/>
        <v>16.127957351239999</v>
      </c>
      <c r="Y10" s="15">
        <f t="shared" si="1"/>
        <v>1.8955993596497757E-4</v>
      </c>
      <c r="Z10" s="12">
        <f t="shared" si="2"/>
        <v>119.46559021156968</v>
      </c>
      <c r="AA10" s="12">
        <f t="shared" si="3"/>
        <v>3.7837237556523809E-2</v>
      </c>
      <c r="AB10" s="12">
        <f t="shared" si="4"/>
        <v>3.6702127837347269E-2</v>
      </c>
      <c r="AC10" s="12">
        <f t="shared" si="5"/>
        <v>5.6874141398479995E-2</v>
      </c>
      <c r="AD10" s="61">
        <f t="shared" si="6"/>
        <v>9.4483337498557821E-2</v>
      </c>
      <c r="AE10" s="11">
        <f t="shared" si="7"/>
        <v>4.4186184523945203E-2</v>
      </c>
      <c r="AF10" s="12">
        <f t="shared" si="8"/>
        <v>5.1934229031500704E-7</v>
      </c>
      <c r="AG10" s="12">
        <f t="shared" si="9"/>
        <v>0.32730298688101284</v>
      </c>
      <c r="AH10" s="12">
        <f t="shared" si="10"/>
        <v>1.0366366453842139E-4</v>
      </c>
      <c r="AI10" s="12">
        <f t="shared" si="11"/>
        <v>1.0055377489684183E-4</v>
      </c>
      <c r="AJ10" s="12">
        <f t="shared" si="12"/>
        <v>1.5581956547528765E-4</v>
      </c>
      <c r="AK10" s="14">
        <f t="shared" si="13"/>
        <v>2.5885845890015843E-4</v>
      </c>
      <c r="AL10" s="15" t="s">
        <v>10</v>
      </c>
      <c r="AM10" s="12" t="s">
        <v>11</v>
      </c>
      <c r="AN10" s="14"/>
    </row>
    <row r="11" spans="1:40" x14ac:dyDescent="0.25">
      <c r="A11" s="11" t="s">
        <v>6</v>
      </c>
      <c r="B11" s="12">
        <v>34</v>
      </c>
      <c r="C11" s="12"/>
      <c r="D11" s="12">
        <v>34003</v>
      </c>
      <c r="E11" s="12" t="s">
        <v>35</v>
      </c>
      <c r="F11" s="12" t="s">
        <v>36</v>
      </c>
      <c r="G11" s="12">
        <v>28500201</v>
      </c>
      <c r="H11" s="123" t="s">
        <v>49</v>
      </c>
      <c r="I11" s="123" t="s">
        <v>50</v>
      </c>
      <c r="J11" s="123" t="s">
        <v>51</v>
      </c>
      <c r="K11" s="123" t="s">
        <v>52</v>
      </c>
      <c r="L11" s="124" t="s">
        <v>53</v>
      </c>
      <c r="M11" s="11">
        <v>3.4489809</v>
      </c>
      <c r="N11" s="12">
        <v>0.35601310000000003</v>
      </c>
      <c r="O11" s="12">
        <v>916.95910000000003</v>
      </c>
      <c r="P11" s="12">
        <v>26.836469999999998</v>
      </c>
      <c r="Q11" s="12">
        <v>0.56147778999999998</v>
      </c>
      <c r="R11" s="12">
        <v>9.6287999999999999E-2</v>
      </c>
      <c r="S11" s="13">
        <v>42.417920000000002</v>
      </c>
      <c r="T11" s="64">
        <v>1.0195107175208789</v>
      </c>
      <c r="U11" s="12">
        <v>8.0804333308599929E-2</v>
      </c>
      <c r="V11" s="12">
        <v>0.10438387423935092</v>
      </c>
      <c r="W11" s="14">
        <v>0.10508474576271187</v>
      </c>
      <c r="X11" s="11">
        <f t="shared" si="0"/>
        <v>3.5162729920748066</v>
      </c>
      <c r="Y11" s="15">
        <f t="shared" si="1"/>
        <v>2.8767401194627919E-2</v>
      </c>
      <c r="Z11" s="12">
        <f t="shared" si="2"/>
        <v>859.30972888411156</v>
      </c>
      <c r="AA11" s="12">
        <f t="shared" si="3"/>
        <v>24.504118806149478</v>
      </c>
      <c r="AB11" s="12">
        <f t="shared" si="4"/>
        <v>0.51267988946289311</v>
      </c>
      <c r="AC11" s="12">
        <f t="shared" si="5"/>
        <v>9.8166647968650378E-2</v>
      </c>
      <c r="AD11" s="61">
        <f t="shared" si="6"/>
        <v>38.701079154254288</v>
      </c>
      <c r="AE11" s="11">
        <f t="shared" si="7"/>
        <v>9.6336246358213872E-3</v>
      </c>
      <c r="AF11" s="12">
        <f t="shared" si="8"/>
        <v>7.8814797793501151E-5</v>
      </c>
      <c r="AG11" s="12">
        <f t="shared" si="9"/>
        <v>2.3542732298194839</v>
      </c>
      <c r="AH11" s="12">
        <f t="shared" si="10"/>
        <v>6.7134572071642404E-2</v>
      </c>
      <c r="AI11" s="12">
        <f t="shared" si="11"/>
        <v>1.4046024368846387E-3</v>
      </c>
      <c r="AJ11" s="12">
        <f t="shared" si="12"/>
        <v>2.6894972046205583E-4</v>
      </c>
      <c r="AK11" s="14">
        <f t="shared" si="13"/>
        <v>0.10603035384727202</v>
      </c>
      <c r="AL11" s="15" t="s">
        <v>10</v>
      </c>
      <c r="AM11" s="12" t="s">
        <v>11</v>
      </c>
      <c r="AN11" s="14"/>
    </row>
    <row r="12" spans="1:40" ht="30" x14ac:dyDescent="0.25">
      <c r="A12" s="11" t="s">
        <v>6</v>
      </c>
      <c r="B12" s="12">
        <v>34</v>
      </c>
      <c r="C12" s="12"/>
      <c r="D12" s="12">
        <v>34003</v>
      </c>
      <c r="E12" s="12" t="s">
        <v>35</v>
      </c>
      <c r="F12" s="12" t="s">
        <v>8</v>
      </c>
      <c r="G12" s="12">
        <v>2285002006</v>
      </c>
      <c r="H12" s="123" t="s">
        <v>49</v>
      </c>
      <c r="I12" s="123" t="s">
        <v>50</v>
      </c>
      <c r="J12" s="123" t="s">
        <v>51</v>
      </c>
      <c r="K12" s="123" t="s">
        <v>56</v>
      </c>
      <c r="L12" s="124" t="s">
        <v>53</v>
      </c>
      <c r="M12" s="11">
        <v>27.304690000000001</v>
      </c>
      <c r="N12" s="12">
        <v>1.0329624500000001E-2</v>
      </c>
      <c r="O12" s="12">
        <v>138.2149</v>
      </c>
      <c r="P12" s="12">
        <v>0.57884303000000004</v>
      </c>
      <c r="Q12" s="12">
        <v>26.031379999999999</v>
      </c>
      <c r="R12" s="12">
        <v>1.16415982E-2</v>
      </c>
      <c r="S12" s="13">
        <v>1.4465598</v>
      </c>
      <c r="T12" s="64">
        <v>1.0195107175208789</v>
      </c>
      <c r="U12" s="12">
        <v>8.0804333308599929E-2</v>
      </c>
      <c r="V12" s="12">
        <v>0.10438387423935092</v>
      </c>
      <c r="W12" s="14">
        <v>0.10508474576271187</v>
      </c>
      <c r="X12" s="11">
        <f t="shared" si="0"/>
        <v>27.837424093585167</v>
      </c>
      <c r="Y12" s="15">
        <f t="shared" si="1"/>
        <v>8.3467842105067994E-4</v>
      </c>
      <c r="Z12" s="12">
        <f t="shared" si="2"/>
        <v>129.52530625056733</v>
      </c>
      <c r="AA12" s="12">
        <f t="shared" si="3"/>
        <v>0.5285359206047423</v>
      </c>
      <c r="AB12" s="12">
        <f t="shared" si="4"/>
        <v>23.768998985634976</v>
      </c>
      <c r="AC12" s="12">
        <f t="shared" si="5"/>
        <v>1.1868734133971772E-2</v>
      </c>
      <c r="AD12" s="61">
        <f t="shared" si="6"/>
        <v>1.3198059999444161</v>
      </c>
      <c r="AE12" s="11">
        <f t="shared" si="7"/>
        <v>7.6266915324890869E-2</v>
      </c>
      <c r="AF12" s="12">
        <f t="shared" si="8"/>
        <v>2.286790194659397E-6</v>
      </c>
      <c r="AG12" s="12">
        <f t="shared" si="9"/>
        <v>0.35486385274128035</v>
      </c>
      <c r="AH12" s="12">
        <f t="shared" si="10"/>
        <v>1.4480436180951844E-3</v>
      </c>
      <c r="AI12" s="12">
        <f t="shared" si="11"/>
        <v>6.5120545166123228E-2</v>
      </c>
      <c r="AJ12" s="12">
        <f t="shared" si="12"/>
        <v>3.2517079819100745E-5</v>
      </c>
      <c r="AK12" s="14">
        <f t="shared" si="13"/>
        <v>3.6159068491627838E-3</v>
      </c>
      <c r="AL12" s="15" t="s">
        <v>10</v>
      </c>
      <c r="AM12" s="12" t="s">
        <v>11</v>
      </c>
      <c r="AN12" s="14"/>
    </row>
    <row r="13" spans="1:40" ht="30" x14ac:dyDescent="0.25">
      <c r="A13" s="11" t="s">
        <v>6</v>
      </c>
      <c r="B13" s="12">
        <v>34</v>
      </c>
      <c r="C13" s="12"/>
      <c r="D13" s="12">
        <v>34003</v>
      </c>
      <c r="E13" s="12" t="s">
        <v>35</v>
      </c>
      <c r="F13" s="12" t="s">
        <v>8</v>
      </c>
      <c r="G13" s="12">
        <v>2285002007</v>
      </c>
      <c r="H13" s="123" t="s">
        <v>49</v>
      </c>
      <c r="I13" s="123" t="s">
        <v>50</v>
      </c>
      <c r="J13" s="123" t="s">
        <v>51</v>
      </c>
      <c r="K13" s="123" t="s">
        <v>54</v>
      </c>
      <c r="L13" s="124" t="s">
        <v>53</v>
      </c>
      <c r="M13" s="11">
        <v>2.470656</v>
      </c>
      <c r="N13" s="12">
        <v>8.5430000000000006E-2</v>
      </c>
      <c r="O13" s="12">
        <v>19.909839999999999</v>
      </c>
      <c r="P13" s="12">
        <v>0.58269760000000004</v>
      </c>
      <c r="Q13" s="12">
        <v>0.56521670000000002</v>
      </c>
      <c r="R13" s="12">
        <v>8.7125999999999992E-3</v>
      </c>
      <c r="S13" s="13">
        <v>0.9210161</v>
      </c>
      <c r="T13" s="64">
        <v>1.0195107175208789</v>
      </c>
      <c r="U13" s="12">
        <v>8.0804333308599929E-2</v>
      </c>
      <c r="V13" s="12">
        <v>0.10438387423935092</v>
      </c>
      <c r="W13" s="14">
        <v>0.10508474576271187</v>
      </c>
      <c r="X13" s="11">
        <f t="shared" si="0"/>
        <v>2.5188602713072643</v>
      </c>
      <c r="Y13" s="15">
        <f t="shared" si="1"/>
        <v>6.9031141945536927E-3</v>
      </c>
      <c r="Z13" s="12">
        <f t="shared" si="2"/>
        <v>18.658105048007091</v>
      </c>
      <c r="AA13" s="12">
        <f t="shared" si="3"/>
        <v>0.53205549084727499</v>
      </c>
      <c r="AB13" s="12">
        <f t="shared" si="4"/>
        <v>0.5160938516883834</v>
      </c>
      <c r="AC13" s="12">
        <f t="shared" si="5"/>
        <v>8.8825890774724085E-3</v>
      </c>
      <c r="AD13" s="61">
        <f t="shared" si="6"/>
        <v>0.84031270247203504</v>
      </c>
      <c r="AE13" s="11">
        <f t="shared" si="7"/>
        <v>6.9009870446774361E-3</v>
      </c>
      <c r="AF13" s="12">
        <f t="shared" si="8"/>
        <v>1.8912641628914226E-5</v>
      </c>
      <c r="AG13" s="12">
        <f t="shared" si="9"/>
        <v>5.1118096021937232E-2</v>
      </c>
      <c r="AH13" s="12">
        <f t="shared" si="10"/>
        <v>1.4576862762939041E-3</v>
      </c>
      <c r="AI13" s="12">
        <f t="shared" si="11"/>
        <v>1.4139557580503655E-3</v>
      </c>
      <c r="AJ13" s="12">
        <f t="shared" si="12"/>
        <v>2.4335860486225778E-5</v>
      </c>
      <c r="AK13" s="14">
        <f t="shared" si="13"/>
        <v>2.3022265821151643E-3</v>
      </c>
      <c r="AL13" s="15" t="s">
        <v>10</v>
      </c>
      <c r="AM13" s="12" t="s">
        <v>11</v>
      </c>
      <c r="AN13" s="14"/>
    </row>
    <row r="14" spans="1:40" ht="30" x14ac:dyDescent="0.25">
      <c r="A14" s="11" t="s">
        <v>6</v>
      </c>
      <c r="B14" s="12">
        <v>34</v>
      </c>
      <c r="C14" s="12"/>
      <c r="D14" s="12">
        <v>34003</v>
      </c>
      <c r="E14" s="12" t="s">
        <v>35</v>
      </c>
      <c r="F14" s="12" t="s">
        <v>8</v>
      </c>
      <c r="G14" s="12">
        <v>2285002009</v>
      </c>
      <c r="H14" s="123" t="s">
        <v>49</v>
      </c>
      <c r="I14" s="123" t="s">
        <v>50</v>
      </c>
      <c r="J14" s="123" t="s">
        <v>51</v>
      </c>
      <c r="K14" s="123" t="s">
        <v>55</v>
      </c>
      <c r="L14" s="124" t="s">
        <v>53</v>
      </c>
      <c r="M14" s="11">
        <v>113.78749999999999</v>
      </c>
      <c r="N14" s="12">
        <v>7.7300770000000001E-3</v>
      </c>
      <c r="O14" s="12">
        <v>22.087731999999999</v>
      </c>
      <c r="P14" s="12">
        <v>4.0452779999999997</v>
      </c>
      <c r="Q14" s="12">
        <v>3.9238629999999999</v>
      </c>
      <c r="R14" s="12">
        <v>0.4012638</v>
      </c>
      <c r="S14" s="13">
        <v>6.3728610000000003</v>
      </c>
      <c r="T14" s="64">
        <v>1.0338579999999999</v>
      </c>
      <c r="U14" s="12">
        <v>8.0804333308599929E-2</v>
      </c>
      <c r="V14" s="12">
        <v>0.10438387423935092</v>
      </c>
      <c r="W14" s="14">
        <v>0.10508474576271187</v>
      </c>
      <c r="X14" s="11">
        <f t="shared" si="0"/>
        <v>117.64011717499999</v>
      </c>
      <c r="Y14" s="15">
        <f t="shared" si="1"/>
        <v>6.2462371840914222E-4</v>
      </c>
      <c r="Z14" s="12">
        <f t="shared" si="2"/>
        <v>20.990364739299075</v>
      </c>
      <c r="AA14" s="12">
        <f t="shared" si="3"/>
        <v>3.7456842928224514</v>
      </c>
      <c r="AB14" s="12">
        <f t="shared" si="4"/>
        <v>3.6332613002832397</v>
      </c>
      <c r="AC14" s="12">
        <f t="shared" si="5"/>
        <v>0.41484978974039999</v>
      </c>
      <c r="AD14" s="61">
        <f t="shared" si="6"/>
        <v>5.8962684695689216</v>
      </c>
      <c r="AE14" s="11">
        <f t="shared" si="7"/>
        <v>0.32230169089041094</v>
      </c>
      <c r="AF14" s="12">
        <f t="shared" si="8"/>
        <v>1.7112978586551841E-6</v>
      </c>
      <c r="AG14" s="12">
        <f t="shared" si="9"/>
        <v>5.7507848600819381E-2</v>
      </c>
      <c r="AH14" s="12">
        <f t="shared" si="10"/>
        <v>1.0262148747458771E-2</v>
      </c>
      <c r="AI14" s="12">
        <f t="shared" si="11"/>
        <v>9.9541405487212041E-3</v>
      </c>
      <c r="AJ14" s="12">
        <f t="shared" si="12"/>
        <v>1.1365747664120547E-3</v>
      </c>
      <c r="AK14" s="14">
        <f t="shared" si="13"/>
        <v>1.6154160190599787E-2</v>
      </c>
      <c r="AL14" s="15" t="s">
        <v>10</v>
      </c>
      <c r="AM14" s="12" t="s">
        <v>11</v>
      </c>
      <c r="AN14" s="14"/>
    </row>
    <row r="15" spans="1:40" x14ac:dyDescent="0.25">
      <c r="A15" s="11" t="s">
        <v>6</v>
      </c>
      <c r="B15" s="12">
        <v>34</v>
      </c>
      <c r="C15" s="12"/>
      <c r="D15" s="12">
        <v>34005</v>
      </c>
      <c r="E15" s="12" t="s">
        <v>13</v>
      </c>
      <c r="F15" s="12" t="s">
        <v>36</v>
      </c>
      <c r="G15" s="12">
        <v>28500201</v>
      </c>
      <c r="H15" s="123" t="s">
        <v>49</v>
      </c>
      <c r="I15" s="123" t="s">
        <v>50</v>
      </c>
      <c r="J15" s="123" t="s">
        <v>51</v>
      </c>
      <c r="K15" s="123" t="s">
        <v>52</v>
      </c>
      <c r="L15" s="124" t="s">
        <v>53</v>
      </c>
      <c r="M15" s="11">
        <v>0.66869270000000003</v>
      </c>
      <c r="N15" s="12">
        <v>2.0027209999999998E-3</v>
      </c>
      <c r="O15" s="12">
        <v>4.2823969999999996</v>
      </c>
      <c r="P15" s="12">
        <v>0.29355320000000001</v>
      </c>
      <c r="Q15" s="12">
        <v>0.28474660000000002</v>
      </c>
      <c r="R15" s="12">
        <v>4.6450379999999998E-3</v>
      </c>
      <c r="S15" s="13">
        <v>0.46383459999999999</v>
      </c>
      <c r="T15" s="64">
        <v>1.0195107175208789</v>
      </c>
      <c r="U15" s="12">
        <v>8.0804333308599929E-2</v>
      </c>
      <c r="V15" s="12">
        <v>0.10438387423935092</v>
      </c>
      <c r="W15" s="14">
        <v>0.10508474576271187</v>
      </c>
      <c r="X15" s="11">
        <f t="shared" si="0"/>
        <v>0.68173937437797383</v>
      </c>
      <c r="Y15" s="15">
        <f t="shared" si="1"/>
        <v>1.6182853520813254E-4</v>
      </c>
      <c r="Z15" s="12">
        <f t="shared" si="2"/>
        <v>4.0131619884072602</v>
      </c>
      <c r="AA15" s="12">
        <f t="shared" si="3"/>
        <v>0.26804056154648359</v>
      </c>
      <c r="AB15" s="12">
        <f t="shared" si="4"/>
        <v>0.25999934104772815</v>
      </c>
      <c r="AC15" s="12">
        <f t="shared" si="5"/>
        <v>4.7356660242917478E-3</v>
      </c>
      <c r="AD15" s="61">
        <f t="shared" si="6"/>
        <v>0.42319141459745963</v>
      </c>
      <c r="AE15" s="11">
        <f t="shared" si="7"/>
        <v>1.8677791078848599E-3</v>
      </c>
      <c r="AF15" s="12">
        <f t="shared" si="8"/>
        <v>4.4336584988529465E-7</v>
      </c>
      <c r="AG15" s="12">
        <f t="shared" si="9"/>
        <v>1.0994964351800713E-2</v>
      </c>
      <c r="AH15" s="12">
        <f t="shared" si="10"/>
        <v>7.3435770286707838E-4</v>
      </c>
      <c r="AI15" s="12">
        <f t="shared" si="11"/>
        <v>7.1232696177459768E-4</v>
      </c>
      <c r="AJ15" s="12">
        <f t="shared" si="12"/>
        <v>1.2974427463813007E-5</v>
      </c>
      <c r="AK15" s="14">
        <f t="shared" si="13"/>
        <v>1.159428533143725E-3</v>
      </c>
      <c r="AL15" s="15" t="s">
        <v>10</v>
      </c>
      <c r="AM15" s="12" t="s">
        <v>11</v>
      </c>
      <c r="AN15" s="14"/>
    </row>
    <row r="16" spans="1:40" ht="30" x14ac:dyDescent="0.25">
      <c r="A16" s="11" t="s">
        <v>6</v>
      </c>
      <c r="B16" s="12">
        <v>34</v>
      </c>
      <c r="C16" s="12"/>
      <c r="D16" s="12">
        <v>34005</v>
      </c>
      <c r="E16" s="12" t="s">
        <v>13</v>
      </c>
      <c r="F16" s="12" t="s">
        <v>8</v>
      </c>
      <c r="G16" s="12">
        <v>2285002007</v>
      </c>
      <c r="H16" s="123" t="s">
        <v>49</v>
      </c>
      <c r="I16" s="123" t="s">
        <v>50</v>
      </c>
      <c r="J16" s="123" t="s">
        <v>51</v>
      </c>
      <c r="K16" s="123" t="s">
        <v>54</v>
      </c>
      <c r="L16" s="124" t="s">
        <v>53</v>
      </c>
      <c r="M16" s="11">
        <v>1.3172060000000001</v>
      </c>
      <c r="N16" s="12">
        <v>4.1212150000000001E-3</v>
      </c>
      <c r="O16" s="12">
        <v>10.000310000000001</v>
      </c>
      <c r="P16" s="12">
        <v>0.1122268</v>
      </c>
      <c r="Q16" s="12">
        <v>0.10886</v>
      </c>
      <c r="R16" s="12">
        <v>2.257088E-3</v>
      </c>
      <c r="S16" s="13">
        <v>0.28046090000000001</v>
      </c>
      <c r="T16" s="64">
        <v>1.0195107175208789</v>
      </c>
      <c r="U16" s="12">
        <v>8.0804333308599929E-2</v>
      </c>
      <c r="V16" s="12">
        <v>0.10438387423935092</v>
      </c>
      <c r="W16" s="14">
        <v>0.10508474576271187</v>
      </c>
      <c r="X16" s="11">
        <f t="shared" si="0"/>
        <v>1.342905634182807</v>
      </c>
      <c r="Y16" s="15">
        <f t="shared" si="1"/>
        <v>3.3301203049640167E-4</v>
      </c>
      <c r="Z16" s="12">
        <f t="shared" si="2"/>
        <v>9.3715888471547633</v>
      </c>
      <c r="AA16" s="12">
        <f t="shared" si="3"/>
        <v>0.10247319563392565</v>
      </c>
      <c r="AB16" s="12">
        <f t="shared" si="4"/>
        <v>9.939900341726883E-2</v>
      </c>
      <c r="AC16" s="12">
        <f t="shared" si="5"/>
        <v>2.3011254063877652E-3</v>
      </c>
      <c r="AD16" s="61">
        <f t="shared" si="6"/>
        <v>0.25588570798788335</v>
      </c>
      <c r="AE16" s="11">
        <f t="shared" si="7"/>
        <v>3.67919351830906E-3</v>
      </c>
      <c r="AF16" s="12">
        <f t="shared" si="8"/>
        <v>9.1236172738740186E-7</v>
      </c>
      <c r="AG16" s="12">
        <f t="shared" si="9"/>
        <v>2.567558588261579E-2</v>
      </c>
      <c r="AH16" s="12">
        <f t="shared" si="10"/>
        <v>2.8074848118883741E-4</v>
      </c>
      <c r="AI16" s="12">
        <f t="shared" si="11"/>
        <v>2.7232603675964061E-4</v>
      </c>
      <c r="AJ16" s="12">
        <f t="shared" si="12"/>
        <v>6.3044531681856585E-6</v>
      </c>
      <c r="AK16" s="14">
        <f t="shared" si="13"/>
        <v>7.0105673421337904E-4</v>
      </c>
      <c r="AL16" s="15" t="s">
        <v>10</v>
      </c>
      <c r="AM16" s="12" t="s">
        <v>11</v>
      </c>
      <c r="AN16" s="14"/>
    </row>
    <row r="17" spans="1:40" x14ac:dyDescent="0.25">
      <c r="A17" s="11" t="s">
        <v>6</v>
      </c>
      <c r="B17" s="12">
        <v>34</v>
      </c>
      <c r="C17" s="12"/>
      <c r="D17" s="12">
        <v>34007</v>
      </c>
      <c r="E17" s="12" t="s">
        <v>15</v>
      </c>
      <c r="F17" s="12" t="s">
        <v>36</v>
      </c>
      <c r="G17" s="12">
        <v>28500201</v>
      </c>
      <c r="H17" s="123" t="s">
        <v>49</v>
      </c>
      <c r="I17" s="123" t="s">
        <v>50</v>
      </c>
      <c r="J17" s="123" t="s">
        <v>51</v>
      </c>
      <c r="K17" s="123" t="s">
        <v>52</v>
      </c>
      <c r="L17" s="124" t="s">
        <v>53</v>
      </c>
      <c r="M17" s="11">
        <v>11.337580000000001</v>
      </c>
      <c r="N17" s="12">
        <v>4.812197E-2</v>
      </c>
      <c r="O17" s="12">
        <v>123.94450000000001</v>
      </c>
      <c r="P17" s="12">
        <v>1.9027879999999999</v>
      </c>
      <c r="Q17" s="12">
        <v>0.86533079999999996</v>
      </c>
      <c r="R17" s="12">
        <v>3.826856E-2</v>
      </c>
      <c r="S17" s="13">
        <v>5.7335919999999998</v>
      </c>
      <c r="T17" s="64">
        <v>1.0195107175208789</v>
      </c>
      <c r="U17" s="12">
        <v>8.0804333308599929E-2</v>
      </c>
      <c r="V17" s="12">
        <v>0.10438387423935092</v>
      </c>
      <c r="W17" s="14">
        <v>0.10508474576271187</v>
      </c>
      <c r="X17" s="11">
        <f t="shared" si="0"/>
        <v>11.558784320750366</v>
      </c>
      <c r="Y17" s="15">
        <f t="shared" si="1"/>
        <v>3.8884637033464466E-3</v>
      </c>
      <c r="Z17" s="12">
        <f t="shared" si="2"/>
        <v>116.15208867186853</v>
      </c>
      <c r="AA17" s="12">
        <f t="shared" si="3"/>
        <v>1.7374171496815922</v>
      </c>
      <c r="AB17" s="12">
        <f t="shared" si="4"/>
        <v>0.79012510698390559</v>
      </c>
      <c r="AC17" s="12">
        <f t="shared" si="5"/>
        <v>3.9015207064090805E-2</v>
      </c>
      <c r="AD17" s="61">
        <f t="shared" si="6"/>
        <v>5.231189974194848</v>
      </c>
      <c r="AE17" s="11">
        <f t="shared" si="7"/>
        <v>3.1667902248631141E-2</v>
      </c>
      <c r="AF17" s="12">
        <f t="shared" si="8"/>
        <v>1.0653325214647798E-5</v>
      </c>
      <c r="AG17" s="12">
        <f t="shared" si="9"/>
        <v>0.31822490047087265</v>
      </c>
      <c r="AH17" s="12">
        <f t="shared" si="10"/>
        <v>4.76004698542902E-3</v>
      </c>
      <c r="AI17" s="12">
        <f t="shared" si="11"/>
        <v>2.164726320503851E-3</v>
      </c>
      <c r="AJ17" s="12">
        <f t="shared" si="12"/>
        <v>1.0689097825778302E-4</v>
      </c>
      <c r="AK17" s="14">
        <f t="shared" si="13"/>
        <v>1.4332027326561227E-2</v>
      </c>
      <c r="AL17" s="15" t="s">
        <v>10</v>
      </c>
      <c r="AM17" s="12" t="s">
        <v>11</v>
      </c>
      <c r="AN17" s="14"/>
    </row>
    <row r="18" spans="1:40" ht="30" x14ac:dyDescent="0.25">
      <c r="A18" s="11" t="s">
        <v>6</v>
      </c>
      <c r="B18" s="12">
        <v>34</v>
      </c>
      <c r="C18" s="12"/>
      <c r="D18" s="12">
        <v>34007</v>
      </c>
      <c r="E18" s="12" t="s">
        <v>15</v>
      </c>
      <c r="F18" s="12" t="s">
        <v>8</v>
      </c>
      <c r="G18" s="12">
        <v>2285002007</v>
      </c>
      <c r="H18" s="123" t="s">
        <v>49</v>
      </c>
      <c r="I18" s="123" t="s">
        <v>50</v>
      </c>
      <c r="J18" s="123" t="s">
        <v>51</v>
      </c>
      <c r="K18" s="123" t="s">
        <v>54</v>
      </c>
      <c r="L18" s="124" t="s">
        <v>53</v>
      </c>
      <c r="M18" s="11">
        <v>4.0762169999999998</v>
      </c>
      <c r="N18" s="12">
        <v>3.3955810000000003E-2</v>
      </c>
      <c r="O18" s="12">
        <v>30.360220000000002</v>
      </c>
      <c r="P18" s="12">
        <v>3.6274609999999998</v>
      </c>
      <c r="Q18" s="12">
        <v>3.518637</v>
      </c>
      <c r="R18" s="12">
        <v>1.43745E-2</v>
      </c>
      <c r="S18" s="13">
        <v>4.7551699999999997</v>
      </c>
      <c r="T18" s="64">
        <v>1.0195107175208789</v>
      </c>
      <c r="U18" s="12">
        <v>8.0804333308599929E-2</v>
      </c>
      <c r="V18" s="12">
        <v>0.10438387423935092</v>
      </c>
      <c r="W18" s="14">
        <v>0.10508474576271187</v>
      </c>
      <c r="X18" s="11">
        <f t="shared" si="0"/>
        <v>4.155746918440804</v>
      </c>
      <c r="Y18" s="15">
        <f t="shared" si="1"/>
        <v>2.7437765890034908E-3</v>
      </c>
      <c r="Z18" s="12">
        <f t="shared" si="2"/>
        <v>28.451467919410998</v>
      </c>
      <c r="AA18" s="12">
        <f t="shared" si="3"/>
        <v>3.3121992314441426</v>
      </c>
      <c r="AB18" s="12">
        <f t="shared" si="4"/>
        <v>3.2128330992754783</v>
      </c>
      <c r="AC18" s="12">
        <f t="shared" si="5"/>
        <v>1.4654956809003873E-2</v>
      </c>
      <c r="AD18" s="61">
        <f t="shared" si="6"/>
        <v>4.3385015239298701</v>
      </c>
      <c r="AE18" s="11">
        <f t="shared" si="7"/>
        <v>1.138560799572823E-2</v>
      </c>
      <c r="AF18" s="12">
        <f t="shared" si="8"/>
        <v>7.5171961342561389E-6</v>
      </c>
      <c r="AG18" s="12">
        <f t="shared" si="9"/>
        <v>7.7949227176468489E-2</v>
      </c>
      <c r="AH18" s="12">
        <f t="shared" si="10"/>
        <v>9.0745184423127196E-3</v>
      </c>
      <c r="AI18" s="12">
        <f t="shared" si="11"/>
        <v>8.8022824637684332E-3</v>
      </c>
      <c r="AJ18" s="12">
        <f t="shared" si="12"/>
        <v>4.015056660001061E-5</v>
      </c>
      <c r="AK18" s="14">
        <f t="shared" si="13"/>
        <v>1.1886305545013343E-2</v>
      </c>
      <c r="AL18" s="15" t="s">
        <v>10</v>
      </c>
      <c r="AM18" s="12" t="s">
        <v>11</v>
      </c>
      <c r="AN18" s="14"/>
    </row>
    <row r="19" spans="1:40" ht="30" x14ac:dyDescent="0.25">
      <c r="A19" s="11" t="s">
        <v>6</v>
      </c>
      <c r="B19" s="12">
        <v>34</v>
      </c>
      <c r="C19" s="12"/>
      <c r="D19" s="12">
        <v>34007</v>
      </c>
      <c r="E19" s="12" t="s">
        <v>15</v>
      </c>
      <c r="F19" s="12" t="s">
        <v>8</v>
      </c>
      <c r="G19" s="12">
        <v>2285002009</v>
      </c>
      <c r="H19" s="123" t="s">
        <v>49</v>
      </c>
      <c r="I19" s="123" t="s">
        <v>50</v>
      </c>
      <c r="J19" s="123" t="s">
        <v>51</v>
      </c>
      <c r="K19" s="123" t="s">
        <v>55</v>
      </c>
      <c r="L19" s="124" t="s">
        <v>53</v>
      </c>
      <c r="M19" s="11">
        <v>15.380549999999999</v>
      </c>
      <c r="N19" s="12">
        <v>1.2753489999999999E-2</v>
      </c>
      <c r="O19" s="12">
        <v>72.607349999999997</v>
      </c>
      <c r="P19" s="12">
        <v>0.89209360000000004</v>
      </c>
      <c r="Q19" s="12">
        <v>1.845704</v>
      </c>
      <c r="R19" s="12">
        <v>5.4238460000000002E-2</v>
      </c>
      <c r="S19" s="13">
        <v>1.409411</v>
      </c>
      <c r="T19" s="64">
        <v>1.0338579999999999</v>
      </c>
      <c r="U19" s="12">
        <v>8.0804333308599929E-2</v>
      </c>
      <c r="V19" s="12">
        <v>0.10438387423935092</v>
      </c>
      <c r="W19" s="14">
        <v>0.10508474576271187</v>
      </c>
      <c r="X19" s="11">
        <f t="shared" si="0"/>
        <v>15.901304661899999</v>
      </c>
      <c r="Y19" s="15">
        <f t="shared" si="1"/>
        <v>1.0305372568078961E-3</v>
      </c>
      <c r="Z19" s="12">
        <f t="shared" si="2"/>
        <v>69.000056649272409</v>
      </c>
      <c r="AA19" s="12">
        <f t="shared" si="3"/>
        <v>0.82602505569393136</v>
      </c>
      <c r="AB19" s="12">
        <f t="shared" si="4"/>
        <v>1.7090109708157437</v>
      </c>
      <c r="AC19" s="12">
        <f t="shared" si="5"/>
        <v>5.6074865778679997E-2</v>
      </c>
      <c r="AD19" s="61">
        <f t="shared" si="6"/>
        <v>1.3040086140218032</v>
      </c>
      <c r="AE19" s="11">
        <f t="shared" si="7"/>
        <v>4.3565218251780821E-2</v>
      </c>
      <c r="AF19" s="12">
        <f t="shared" si="8"/>
        <v>2.8233897446791675E-6</v>
      </c>
      <c r="AG19" s="12">
        <f t="shared" si="9"/>
        <v>0.18904125109389702</v>
      </c>
      <c r="AH19" s="12">
        <f t="shared" si="10"/>
        <v>2.2630823443669352E-3</v>
      </c>
      <c r="AI19" s="12">
        <f t="shared" si="11"/>
        <v>4.6822218378513528E-3</v>
      </c>
      <c r="AJ19" s="12">
        <f t="shared" si="12"/>
        <v>1.5362976925665752E-4</v>
      </c>
      <c r="AK19" s="14">
        <f t="shared" si="13"/>
        <v>3.5726263397857622E-3</v>
      </c>
      <c r="AL19" s="15" t="s">
        <v>10</v>
      </c>
      <c r="AM19" s="12" t="s">
        <v>11</v>
      </c>
      <c r="AN19" s="14"/>
    </row>
    <row r="20" spans="1:40" ht="30" x14ac:dyDescent="0.25">
      <c r="A20" s="11" t="s">
        <v>6</v>
      </c>
      <c r="B20" s="12">
        <v>34</v>
      </c>
      <c r="C20" s="12"/>
      <c r="D20" s="12">
        <v>34009</v>
      </c>
      <c r="E20" s="12" t="s">
        <v>38</v>
      </c>
      <c r="F20" s="12" t="s">
        <v>8</v>
      </c>
      <c r="G20" s="12">
        <v>2285002007</v>
      </c>
      <c r="H20" s="123" t="s">
        <v>49</v>
      </c>
      <c r="I20" s="123" t="s">
        <v>50</v>
      </c>
      <c r="J20" s="123" t="s">
        <v>51</v>
      </c>
      <c r="K20" s="123" t="s">
        <v>54</v>
      </c>
      <c r="L20" s="124" t="s">
        <v>53</v>
      </c>
      <c r="M20" s="11">
        <v>0.4820951</v>
      </c>
      <c r="N20" s="12">
        <v>1.5083570000000001E-3</v>
      </c>
      <c r="O20" s="12">
        <v>3.7260810000000002</v>
      </c>
      <c r="P20" s="12">
        <v>0.109277</v>
      </c>
      <c r="Q20" s="12">
        <v>0.1059987</v>
      </c>
      <c r="R20" s="12">
        <v>1.700076E-3</v>
      </c>
      <c r="S20" s="13">
        <v>0.17268330000000001</v>
      </c>
      <c r="T20" s="64">
        <v>1.0195107175208789</v>
      </c>
      <c r="U20" s="12">
        <v>8.0804333308599929E-2</v>
      </c>
      <c r="V20" s="12">
        <v>0.10438387423935092</v>
      </c>
      <c r="W20" s="14">
        <v>0.10508474576271187</v>
      </c>
      <c r="X20" s="11">
        <f t="shared" si="0"/>
        <v>0.49150112131429985</v>
      </c>
      <c r="Y20" s="15">
        <f t="shared" si="1"/>
        <v>1.2188178177635987E-4</v>
      </c>
      <c r="Z20" s="12">
        <f t="shared" si="2"/>
        <v>3.4918216678478236</v>
      </c>
      <c r="AA20" s="12">
        <f t="shared" si="3"/>
        <v>9.9779762046930787E-2</v>
      </c>
      <c r="AB20" s="12">
        <f t="shared" si="4"/>
        <v>9.6786378316425253E-2</v>
      </c>
      <c r="AC20" s="12">
        <f t="shared" si="5"/>
        <v>1.7332457026000257E-3</v>
      </c>
      <c r="AD20" s="61">
        <f t="shared" si="6"/>
        <v>0.15755204550147295</v>
      </c>
      <c r="AE20" s="11">
        <f t="shared" si="7"/>
        <v>1.3465784145597257E-3</v>
      </c>
      <c r="AF20" s="12">
        <f t="shared" si="8"/>
        <v>3.3392268979824621E-7</v>
      </c>
      <c r="AG20" s="12">
        <f t="shared" si="9"/>
        <v>9.5666347064323927E-3</v>
      </c>
      <c r="AH20" s="12">
        <f t="shared" si="10"/>
        <v>2.7336921108748162E-4</v>
      </c>
      <c r="AI20" s="12">
        <f t="shared" si="11"/>
        <v>2.6516815977102809E-4</v>
      </c>
      <c r="AJ20" s="12">
        <f t="shared" si="12"/>
        <v>4.7486183632877417E-6</v>
      </c>
      <c r="AK20" s="14">
        <f t="shared" si="13"/>
        <v>4.316494397300629E-4</v>
      </c>
      <c r="AL20" s="15" t="s">
        <v>10</v>
      </c>
      <c r="AM20" s="12" t="s">
        <v>11</v>
      </c>
      <c r="AN20" s="14"/>
    </row>
    <row r="21" spans="1:40" x14ac:dyDescent="0.25">
      <c r="A21" s="11" t="s">
        <v>6</v>
      </c>
      <c r="B21" s="12">
        <v>34</v>
      </c>
      <c r="C21" s="12"/>
      <c r="D21" s="12">
        <v>34011</v>
      </c>
      <c r="E21" s="12" t="s">
        <v>16</v>
      </c>
      <c r="F21" s="12" t="s">
        <v>36</v>
      </c>
      <c r="G21" s="12">
        <v>28500201</v>
      </c>
      <c r="H21" s="123" t="s">
        <v>49</v>
      </c>
      <c r="I21" s="123" t="s">
        <v>50</v>
      </c>
      <c r="J21" s="123" t="s">
        <v>51</v>
      </c>
      <c r="K21" s="123" t="s">
        <v>52</v>
      </c>
      <c r="L21" s="124" t="s">
        <v>53</v>
      </c>
      <c r="M21" s="11">
        <v>1.012537</v>
      </c>
      <c r="N21" s="12">
        <v>3.0325270000000001E-3</v>
      </c>
      <c r="O21" s="12">
        <v>6.4844220000000004</v>
      </c>
      <c r="P21" s="12">
        <v>1.3332889999999999</v>
      </c>
      <c r="Q21" s="12">
        <v>0.16483629999999999</v>
      </c>
      <c r="R21" s="12">
        <v>2.0176079999999999E-2</v>
      </c>
      <c r="S21" s="13">
        <v>2.1072579999999999</v>
      </c>
      <c r="T21" s="64">
        <v>1.0195107175208789</v>
      </c>
      <c r="U21" s="12">
        <v>8.0804333308599929E-2</v>
      </c>
      <c r="V21" s="12">
        <v>0.10438387423935092</v>
      </c>
      <c r="W21" s="14">
        <v>0.10508474576271187</v>
      </c>
      <c r="X21" s="11">
        <f t="shared" si="0"/>
        <v>1.0322923233864381</v>
      </c>
      <c r="Y21" s="15">
        <f t="shared" si="1"/>
        <v>2.4504132247532865E-4</v>
      </c>
      <c r="Z21" s="12">
        <f t="shared" si="2"/>
        <v>6.0767453104398745</v>
      </c>
      <c r="AA21" s="12">
        <f t="shared" si="3"/>
        <v>1.2174131716627499</v>
      </c>
      <c r="AB21" s="12">
        <f t="shared" si="4"/>
        <v>0.15051041656246508</v>
      </c>
      <c r="AC21" s="12">
        <f t="shared" si="5"/>
        <v>2.0569729797558653E-2</v>
      </c>
      <c r="AD21" s="61">
        <f t="shared" si="6"/>
        <v>1.9226109780120189</v>
      </c>
      <c r="AE21" s="11">
        <f t="shared" si="7"/>
        <v>2.8281981462642139E-3</v>
      </c>
      <c r="AF21" s="12">
        <f t="shared" si="8"/>
        <v>6.7134608897350316E-7</v>
      </c>
      <c r="AG21" s="12">
        <f t="shared" si="9"/>
        <v>1.6648617288876368E-2</v>
      </c>
      <c r="AH21" s="12">
        <f t="shared" si="10"/>
        <v>3.3353785525006845E-3</v>
      </c>
      <c r="AI21" s="12">
        <f t="shared" si="11"/>
        <v>4.1235730565058928E-4</v>
      </c>
      <c r="AJ21" s="12">
        <f t="shared" si="12"/>
        <v>5.635542410290042E-5</v>
      </c>
      <c r="AK21" s="14">
        <f t="shared" si="13"/>
        <v>5.2674273370192301E-3</v>
      </c>
      <c r="AL21" s="15" t="s">
        <v>10</v>
      </c>
      <c r="AM21" s="12" t="s">
        <v>11</v>
      </c>
      <c r="AN21" s="14"/>
    </row>
    <row r="22" spans="1:40" ht="30" x14ac:dyDescent="0.25">
      <c r="A22" s="11" t="s">
        <v>6</v>
      </c>
      <c r="B22" s="12">
        <v>34</v>
      </c>
      <c r="C22" s="12"/>
      <c r="D22" s="12">
        <v>34011</v>
      </c>
      <c r="E22" s="12" t="s">
        <v>16</v>
      </c>
      <c r="F22" s="12" t="s">
        <v>8</v>
      </c>
      <c r="G22" s="12">
        <v>2285002007</v>
      </c>
      <c r="H22" s="123" t="s">
        <v>49</v>
      </c>
      <c r="I22" s="123" t="s">
        <v>50</v>
      </c>
      <c r="J22" s="123" t="s">
        <v>51</v>
      </c>
      <c r="K22" s="123" t="s">
        <v>54</v>
      </c>
      <c r="L22" s="124" t="s">
        <v>53</v>
      </c>
      <c r="M22" s="11">
        <v>5.7213859999999999</v>
      </c>
      <c r="N22" s="12">
        <v>1.7900820000000001E-2</v>
      </c>
      <c r="O22" s="12">
        <v>45.528219999999997</v>
      </c>
      <c r="P22" s="12">
        <v>0.16993430000000001</v>
      </c>
      <c r="Q22" s="12">
        <v>1.293291</v>
      </c>
      <c r="R22" s="12">
        <v>3.417691E-3</v>
      </c>
      <c r="S22" s="13">
        <v>0.42467500000000002</v>
      </c>
      <c r="T22" s="64">
        <v>1.0195107175208789</v>
      </c>
      <c r="U22" s="12">
        <v>8.0804333308599929E-2</v>
      </c>
      <c r="V22" s="12">
        <v>0.10438387423935092</v>
      </c>
      <c r="W22" s="14">
        <v>0.10508474576271187</v>
      </c>
      <c r="X22" s="11">
        <f t="shared" si="0"/>
        <v>5.8330143460739112</v>
      </c>
      <c r="Y22" s="15">
        <f t="shared" si="1"/>
        <v>1.446463825777252E-3</v>
      </c>
      <c r="Z22" s="12">
        <f t="shared" si="2"/>
        <v>42.665853236830493</v>
      </c>
      <c r="AA22" s="12">
        <f t="shared" si="3"/>
        <v>0.15516535060087441</v>
      </c>
      <c r="AB22" s="12">
        <f t="shared" si="4"/>
        <v>1.1808913882833274</v>
      </c>
      <c r="AC22" s="12">
        <f t="shared" si="5"/>
        <v>3.4843726036746501E-3</v>
      </c>
      <c r="AD22" s="61">
        <f t="shared" si="6"/>
        <v>0.38746314741111637</v>
      </c>
      <c r="AE22" s="11">
        <f t="shared" si="7"/>
        <v>1.5980861222120304E-2</v>
      </c>
      <c r="AF22" s="12">
        <f t="shared" si="8"/>
        <v>3.9629145911705534E-6</v>
      </c>
      <c r="AG22" s="12">
        <f t="shared" si="9"/>
        <v>0.11689274859405614</v>
      </c>
      <c r="AH22" s="12">
        <f t="shared" si="10"/>
        <v>4.2511054959143673E-4</v>
      </c>
      <c r="AI22" s="12">
        <f t="shared" si="11"/>
        <v>3.235318872009116E-3</v>
      </c>
      <c r="AJ22" s="12">
        <f t="shared" si="12"/>
        <v>9.5462263114373972E-6</v>
      </c>
      <c r="AK22" s="14">
        <f t="shared" si="13"/>
        <v>1.0615428696194968E-3</v>
      </c>
      <c r="AL22" s="15" t="s">
        <v>10</v>
      </c>
      <c r="AM22" s="12" t="s">
        <v>11</v>
      </c>
      <c r="AN22" s="14"/>
    </row>
    <row r="23" spans="1:40" x14ac:dyDescent="0.25">
      <c r="A23" s="11" t="s">
        <v>6</v>
      </c>
      <c r="B23" s="12">
        <v>34</v>
      </c>
      <c r="C23" s="12"/>
      <c r="D23" s="12">
        <v>34013</v>
      </c>
      <c r="E23" s="12" t="s">
        <v>17</v>
      </c>
      <c r="F23" s="12" t="s">
        <v>36</v>
      </c>
      <c r="G23" s="12">
        <v>28500201</v>
      </c>
      <c r="H23" s="123" t="s">
        <v>49</v>
      </c>
      <c r="I23" s="123" t="s">
        <v>50</v>
      </c>
      <c r="J23" s="123" t="s">
        <v>51</v>
      </c>
      <c r="K23" s="123" t="s">
        <v>52</v>
      </c>
      <c r="L23" s="124" t="s">
        <v>53</v>
      </c>
      <c r="M23" s="11">
        <v>35.928060199999997</v>
      </c>
      <c r="N23" s="12">
        <v>0.107603769</v>
      </c>
      <c r="O23" s="12">
        <v>52.034550000000003</v>
      </c>
      <c r="P23" s="12">
        <v>5.2152560000000001</v>
      </c>
      <c r="Q23" s="12">
        <v>0.44624370000000002</v>
      </c>
      <c r="R23" s="12">
        <v>3.6249999999999998E-2</v>
      </c>
      <c r="S23" s="13">
        <v>0.72682049999999998</v>
      </c>
      <c r="T23" s="64">
        <v>1.0195107175208789</v>
      </c>
      <c r="U23" s="12">
        <v>8.0804333308599929E-2</v>
      </c>
      <c r="V23" s="12">
        <v>0.10438387423935092</v>
      </c>
      <c r="W23" s="14">
        <v>0.10508474576271187</v>
      </c>
      <c r="X23" s="11">
        <f t="shared" si="0"/>
        <v>36.629042433635327</v>
      </c>
      <c r="Y23" s="15">
        <f t="shared" si="1"/>
        <v>8.6948508155375928E-3</v>
      </c>
      <c r="Z23" s="12">
        <f t="shared" si="2"/>
        <v>48.76312918766687</v>
      </c>
      <c r="AA23" s="12">
        <f t="shared" si="3"/>
        <v>4.7619993474731928</v>
      </c>
      <c r="AB23" s="12">
        <f t="shared" si="4"/>
        <v>0.40746076668413272</v>
      </c>
      <c r="AC23" s="12">
        <f t="shared" si="5"/>
        <v>3.6957263510131858E-2</v>
      </c>
      <c r="AD23" s="61">
        <f t="shared" si="6"/>
        <v>0.66313335735072998</v>
      </c>
      <c r="AE23" s="11">
        <f t="shared" si="7"/>
        <v>0.10035354091406939</v>
      </c>
      <c r="AF23" s="12">
        <f t="shared" si="8"/>
        <v>2.3821509083664639E-5</v>
      </c>
      <c r="AG23" s="12">
        <f t="shared" si="9"/>
        <v>0.13359761421278593</v>
      </c>
      <c r="AH23" s="12">
        <f t="shared" si="10"/>
        <v>1.3046573554721077E-2</v>
      </c>
      <c r="AI23" s="12">
        <f t="shared" si="11"/>
        <v>1.1163308676277609E-3</v>
      </c>
      <c r="AJ23" s="12">
        <f t="shared" si="12"/>
        <v>1.0125277674008729E-4</v>
      </c>
      <c r="AK23" s="14">
        <f t="shared" si="13"/>
        <v>1.8168037187691233E-3</v>
      </c>
      <c r="AL23" s="15" t="s">
        <v>10</v>
      </c>
      <c r="AM23" s="12" t="s">
        <v>11</v>
      </c>
      <c r="AN23" s="14"/>
    </row>
    <row r="24" spans="1:40" ht="30" x14ac:dyDescent="0.25">
      <c r="A24" s="11" t="s">
        <v>6</v>
      </c>
      <c r="B24" s="12">
        <v>34</v>
      </c>
      <c r="C24" s="12"/>
      <c r="D24" s="12">
        <v>34013</v>
      </c>
      <c r="E24" s="12" t="s">
        <v>17</v>
      </c>
      <c r="F24" s="12" t="s">
        <v>8</v>
      </c>
      <c r="G24" s="12">
        <v>2285002006</v>
      </c>
      <c r="H24" s="123" t="s">
        <v>49</v>
      </c>
      <c r="I24" s="123" t="s">
        <v>50</v>
      </c>
      <c r="J24" s="123" t="s">
        <v>51</v>
      </c>
      <c r="K24" s="123" t="s">
        <v>56</v>
      </c>
      <c r="L24" s="124" t="s">
        <v>53</v>
      </c>
      <c r="M24" s="11">
        <v>10.27956</v>
      </c>
      <c r="N24" s="12">
        <v>3.2162000000000003E-2</v>
      </c>
      <c r="O24" s="12">
        <v>178.1969</v>
      </c>
      <c r="P24" s="12">
        <v>1.5229490000000001</v>
      </c>
      <c r="Q24" s="12">
        <v>1.477239</v>
      </c>
      <c r="R24" s="12">
        <v>7.4137710000000004E-3</v>
      </c>
      <c r="S24" s="13">
        <v>8.2432719999999993</v>
      </c>
      <c r="T24" s="64">
        <v>1.0195107175208789</v>
      </c>
      <c r="U24" s="12">
        <v>8.0804333308599929E-2</v>
      </c>
      <c r="V24" s="12">
        <v>0.10438387423935092</v>
      </c>
      <c r="W24" s="14">
        <v>0.10508474576271187</v>
      </c>
      <c r="X24" s="11">
        <f t="shared" si="0"/>
        <v>10.480121591398925</v>
      </c>
      <c r="Y24" s="15">
        <f t="shared" si="1"/>
        <v>2.5988289678711913E-3</v>
      </c>
      <c r="Z24" s="12">
        <f t="shared" si="2"/>
        <v>166.99363126118615</v>
      </c>
      <c r="AA24" s="12">
        <f t="shared" si="3"/>
        <v>1.3905898663910174</v>
      </c>
      <c r="AB24" s="12">
        <f t="shared" si="4"/>
        <v>1.3488525115664411</v>
      </c>
      <c r="AC24" s="12">
        <f t="shared" si="5"/>
        <v>7.5584189917454843E-3</v>
      </c>
      <c r="AD24" s="61">
        <f t="shared" si="6"/>
        <v>7.5209610033223697</v>
      </c>
      <c r="AE24" s="11">
        <f t="shared" si="7"/>
        <v>2.8712661894243631E-2</v>
      </c>
      <c r="AF24" s="12">
        <f t="shared" si="8"/>
        <v>7.1200793640306608E-6</v>
      </c>
      <c r="AG24" s="12">
        <f t="shared" si="9"/>
        <v>0.45751679797585248</v>
      </c>
      <c r="AH24" s="12">
        <f t="shared" si="10"/>
        <v>3.8098352503863494E-3</v>
      </c>
      <c r="AI24" s="12">
        <f t="shared" si="11"/>
        <v>3.6954863330587429E-3</v>
      </c>
      <c r="AJ24" s="12">
        <f t="shared" si="12"/>
        <v>2.0707997237658862E-5</v>
      </c>
      <c r="AK24" s="14">
        <f t="shared" si="13"/>
        <v>2.0605372611842108E-2</v>
      </c>
      <c r="AL24" s="15" t="s">
        <v>10</v>
      </c>
      <c r="AM24" s="12" t="s">
        <v>11</v>
      </c>
      <c r="AN24" s="14"/>
    </row>
    <row r="25" spans="1:40" ht="30" x14ac:dyDescent="0.25">
      <c r="A25" s="11" t="s">
        <v>6</v>
      </c>
      <c r="B25" s="12">
        <v>34</v>
      </c>
      <c r="C25" s="12"/>
      <c r="D25" s="12">
        <v>34013</v>
      </c>
      <c r="E25" s="12" t="s">
        <v>17</v>
      </c>
      <c r="F25" s="12" t="s">
        <v>8</v>
      </c>
      <c r="G25" s="12">
        <v>2285002007</v>
      </c>
      <c r="H25" s="123" t="s">
        <v>49</v>
      </c>
      <c r="I25" s="123" t="s">
        <v>50</v>
      </c>
      <c r="J25" s="123" t="s">
        <v>51</v>
      </c>
      <c r="K25" s="123" t="s">
        <v>54</v>
      </c>
      <c r="L25" s="124" t="s">
        <v>53</v>
      </c>
      <c r="M25" s="11">
        <v>2.1023429999999999</v>
      </c>
      <c r="N25" s="12">
        <v>6.5777179999999998E-3</v>
      </c>
      <c r="O25" s="12">
        <v>230.08800299999999</v>
      </c>
      <c r="P25" s="12">
        <v>0.46004509999999998</v>
      </c>
      <c r="Q25" s="12">
        <v>5.0587980000000003</v>
      </c>
      <c r="R25" s="12">
        <v>0.121270605</v>
      </c>
      <c r="S25" s="13">
        <v>15.068827499999999</v>
      </c>
      <c r="T25" s="64">
        <v>1.0195107175208789</v>
      </c>
      <c r="U25" s="12">
        <v>8.0804333308599929E-2</v>
      </c>
      <c r="V25" s="12">
        <v>0.10438387423935092</v>
      </c>
      <c r="W25" s="14">
        <v>0.10508474576271187</v>
      </c>
      <c r="X25" s="11">
        <f t="shared" si="0"/>
        <v>2.143361220404997</v>
      </c>
      <c r="Y25" s="15">
        <f t="shared" si="1"/>
        <v>5.3150811768197732E-4</v>
      </c>
      <c r="Z25" s="12">
        <f t="shared" si="2"/>
        <v>215.6223319855996</v>
      </c>
      <c r="AA25" s="12">
        <f t="shared" si="3"/>
        <v>0.42006269030863297</v>
      </c>
      <c r="AB25" s="12">
        <f t="shared" si="4"/>
        <v>4.6191390748601213</v>
      </c>
      <c r="AC25" s="12">
        <f t="shared" si="5"/>
        <v>0.12363668151774108</v>
      </c>
      <c r="AD25" s="61">
        <f t="shared" si="6"/>
        <v>13.748431932525303</v>
      </c>
      <c r="AE25" s="11">
        <f t="shared" si="7"/>
        <v>5.8722225216575261E-3</v>
      </c>
      <c r="AF25" s="12">
        <f t="shared" si="8"/>
        <v>1.4561866237862393E-6</v>
      </c>
      <c r="AG25" s="12">
        <f t="shared" si="9"/>
        <v>0.59074611502903995</v>
      </c>
      <c r="AH25" s="12">
        <f t="shared" si="10"/>
        <v>1.1508566857770766E-3</v>
      </c>
      <c r="AI25" s="12">
        <f t="shared" si="11"/>
        <v>1.2655175547561976E-2</v>
      </c>
      <c r="AJ25" s="12">
        <f t="shared" si="12"/>
        <v>3.3873063429518103E-4</v>
      </c>
      <c r="AK25" s="14">
        <f t="shared" si="13"/>
        <v>3.7666936801439184E-2</v>
      </c>
      <c r="AL25" s="15" t="s">
        <v>10</v>
      </c>
      <c r="AM25" s="12" t="s">
        <v>11</v>
      </c>
      <c r="AN25" s="14"/>
    </row>
    <row r="26" spans="1:40" ht="30" x14ac:dyDescent="0.25">
      <c r="A26" s="11" t="s">
        <v>6</v>
      </c>
      <c r="B26" s="12">
        <v>34</v>
      </c>
      <c r="C26" s="12"/>
      <c r="D26" s="12">
        <v>34013</v>
      </c>
      <c r="E26" s="12" t="s">
        <v>17</v>
      </c>
      <c r="F26" s="12" t="s">
        <v>8</v>
      </c>
      <c r="G26" s="12">
        <v>2285002009</v>
      </c>
      <c r="H26" s="123" t="s">
        <v>49</v>
      </c>
      <c r="I26" s="123" t="s">
        <v>50</v>
      </c>
      <c r="J26" s="123" t="s">
        <v>51</v>
      </c>
      <c r="K26" s="123" t="s">
        <v>55</v>
      </c>
      <c r="L26" s="124" t="s">
        <v>53</v>
      </c>
      <c r="M26" s="11">
        <v>22.112850000000002</v>
      </c>
      <c r="N26" s="12">
        <v>6.9185679999999999E-2</v>
      </c>
      <c r="O26" s="12">
        <v>15.65639</v>
      </c>
      <c r="P26" s="12">
        <v>6.0298118599999997</v>
      </c>
      <c r="Q26" s="12">
        <v>5.8489176599999997</v>
      </c>
      <c r="R26" s="12">
        <v>7.7979450000000006E-2</v>
      </c>
      <c r="S26" s="13">
        <v>2.3992279999999999</v>
      </c>
      <c r="T26" s="64">
        <v>1.0338579999999999</v>
      </c>
      <c r="U26" s="12">
        <v>8.0804333308599929E-2</v>
      </c>
      <c r="V26" s="12">
        <v>0.10438387423935092</v>
      </c>
      <c r="W26" s="14">
        <v>0.10508474576271187</v>
      </c>
      <c r="X26" s="11">
        <f t="shared" si="0"/>
        <v>22.8615468753</v>
      </c>
      <c r="Y26" s="15">
        <f t="shared" si="1"/>
        <v>5.5905027469021363E-3</v>
      </c>
      <c r="Z26" s="12">
        <f t="shared" si="2"/>
        <v>14.878546000137755</v>
      </c>
      <c r="AA26" s="12">
        <f t="shared" si="3"/>
        <v>5.5832433698441815</v>
      </c>
      <c r="AB26" s="12">
        <f t="shared" si="4"/>
        <v>5.4157462130102916</v>
      </c>
      <c r="AC26" s="12">
        <f t="shared" si="5"/>
        <v>8.0619678218099997E-2</v>
      </c>
      <c r="AD26" s="61">
        <f t="shared" si="6"/>
        <v>2.2198024415889352</v>
      </c>
      <c r="AE26" s="11">
        <f t="shared" si="7"/>
        <v>6.2634375000821918E-2</v>
      </c>
      <c r="AF26" s="12">
        <f t="shared" si="8"/>
        <v>1.5316445881923662E-5</v>
      </c>
      <c r="AG26" s="12">
        <f t="shared" si="9"/>
        <v>4.0763139726404808E-2</v>
      </c>
      <c r="AH26" s="12">
        <f t="shared" si="10"/>
        <v>1.5296557177655292E-2</v>
      </c>
      <c r="AI26" s="12">
        <f t="shared" si="11"/>
        <v>1.4837660857562442E-2</v>
      </c>
      <c r="AJ26" s="12">
        <f t="shared" si="12"/>
        <v>2.2087583073452055E-4</v>
      </c>
      <c r="AK26" s="14">
        <f t="shared" si="13"/>
        <v>6.081650524901192E-3</v>
      </c>
      <c r="AL26" s="15" t="s">
        <v>10</v>
      </c>
      <c r="AM26" s="12" t="s">
        <v>11</v>
      </c>
      <c r="AN26" s="14"/>
    </row>
    <row r="27" spans="1:40" x14ac:dyDescent="0.25">
      <c r="A27" s="11" t="s">
        <v>6</v>
      </c>
      <c r="B27" s="12">
        <v>34</v>
      </c>
      <c r="C27" s="12"/>
      <c r="D27" s="12">
        <v>34015</v>
      </c>
      <c r="E27" s="12" t="s">
        <v>19</v>
      </c>
      <c r="F27" s="12" t="s">
        <v>36</v>
      </c>
      <c r="G27" s="12">
        <v>28500201</v>
      </c>
      <c r="H27" s="123" t="s">
        <v>49</v>
      </c>
      <c r="I27" s="123" t="s">
        <v>50</v>
      </c>
      <c r="J27" s="123" t="s">
        <v>51</v>
      </c>
      <c r="K27" s="123" t="s">
        <v>52</v>
      </c>
      <c r="L27" s="124" t="s">
        <v>53</v>
      </c>
      <c r="M27" s="11">
        <v>1.030748</v>
      </c>
      <c r="N27" s="12">
        <v>3.0870699999999999E-3</v>
      </c>
      <c r="O27" s="12">
        <v>64.043639999999996</v>
      </c>
      <c r="P27" s="12">
        <v>1.8792279999999999</v>
      </c>
      <c r="Q27" s="12">
        <v>1.822851</v>
      </c>
      <c r="R27" s="12">
        <v>2.9522139999999999E-2</v>
      </c>
      <c r="S27" s="13">
        <v>0.43231320000000001</v>
      </c>
      <c r="T27" s="64">
        <v>1.0195107175208789</v>
      </c>
      <c r="U27" s="12">
        <v>8.0804333308599929E-2</v>
      </c>
      <c r="V27" s="12">
        <v>0.10438387423935092</v>
      </c>
      <c r="W27" s="14">
        <v>0.10508474576271187</v>
      </c>
      <c r="X27" s="11">
        <f t="shared" si="0"/>
        <v>1.0508586330632108</v>
      </c>
      <c r="Y27" s="15">
        <f t="shared" si="1"/>
        <v>2.4944863322697957E-4</v>
      </c>
      <c r="Z27" s="12">
        <f t="shared" si="2"/>
        <v>60.017205702142689</v>
      </c>
      <c r="AA27" s="12">
        <f t="shared" si="3"/>
        <v>1.7159047436508108</v>
      </c>
      <c r="AB27" s="12">
        <f t="shared" si="4"/>
        <v>1.6644274552468483</v>
      </c>
      <c r="AC27" s="12">
        <f t="shared" si="5"/>
        <v>3.0098138134151835E-2</v>
      </c>
      <c r="AD27" s="61">
        <f t="shared" si="6"/>
        <v>0.39443205542914322</v>
      </c>
      <c r="AE27" s="11">
        <f t="shared" si="7"/>
        <v>2.8790647481183856E-3</v>
      </c>
      <c r="AF27" s="12">
        <f t="shared" si="8"/>
        <v>6.8342091295062893E-7</v>
      </c>
      <c r="AG27" s="12">
        <f t="shared" si="9"/>
        <v>0.16443070055381559</v>
      </c>
      <c r="AH27" s="12">
        <f t="shared" si="10"/>
        <v>4.7011088867145497E-3</v>
      </c>
      <c r="AI27" s="12">
        <f t="shared" si="11"/>
        <v>4.5600752198543789E-3</v>
      </c>
      <c r="AJ27" s="12">
        <f t="shared" si="12"/>
        <v>8.2460652422333802E-5</v>
      </c>
      <c r="AK27" s="14">
        <f t="shared" si="13"/>
        <v>1.0806357682990226E-3</v>
      </c>
      <c r="AL27" s="15" t="s">
        <v>10</v>
      </c>
      <c r="AM27" s="12" t="s">
        <v>11</v>
      </c>
      <c r="AN27" s="14"/>
    </row>
    <row r="28" spans="1:40" ht="30" x14ac:dyDescent="0.25">
      <c r="A28" s="11" t="s">
        <v>6</v>
      </c>
      <c r="B28" s="12">
        <v>34</v>
      </c>
      <c r="C28" s="12"/>
      <c r="D28" s="12">
        <v>34015</v>
      </c>
      <c r="E28" s="12" t="s">
        <v>19</v>
      </c>
      <c r="F28" s="12" t="s">
        <v>8</v>
      </c>
      <c r="G28" s="12">
        <v>2285002007</v>
      </c>
      <c r="H28" s="123" t="s">
        <v>49</v>
      </c>
      <c r="I28" s="123" t="s">
        <v>50</v>
      </c>
      <c r="J28" s="123" t="s">
        <v>51</v>
      </c>
      <c r="K28" s="123" t="s">
        <v>54</v>
      </c>
      <c r="L28" s="124" t="s">
        <v>53</v>
      </c>
      <c r="M28" s="11">
        <v>8.3716740000000005</v>
      </c>
      <c r="N28" s="12">
        <v>2.6192920000000001E-2</v>
      </c>
      <c r="O28" s="12">
        <v>6.6010499999999999</v>
      </c>
      <c r="P28" s="12">
        <v>0.1729907</v>
      </c>
      <c r="Q28" s="12">
        <v>0.16780100000000001</v>
      </c>
      <c r="R28" s="12">
        <v>3.4791610000000001E-3</v>
      </c>
      <c r="S28" s="13">
        <v>2.9694440000000002</v>
      </c>
      <c r="T28" s="64">
        <v>1.0195107175208789</v>
      </c>
      <c r="U28" s="12">
        <v>8.0804333308599929E-2</v>
      </c>
      <c r="V28" s="12">
        <v>0.10438387423935092</v>
      </c>
      <c r="W28" s="14">
        <v>0.10508474576271187</v>
      </c>
      <c r="X28" s="11">
        <f t="shared" si="0"/>
        <v>8.5350113665908864</v>
      </c>
      <c r="Y28" s="15">
        <f t="shared" si="1"/>
        <v>2.1165014380054932E-3</v>
      </c>
      <c r="Z28" s="12">
        <f t="shared" si="2"/>
        <v>6.1860408886835456</v>
      </c>
      <c r="AA28" s="12">
        <f t="shared" si="3"/>
        <v>0.1579561196073464</v>
      </c>
      <c r="AB28" s="12">
        <f t="shared" si="4"/>
        <v>0.15321745519402102</v>
      </c>
      <c r="AC28" s="12">
        <f t="shared" si="5"/>
        <v>3.5470419274806586E-3</v>
      </c>
      <c r="AD28" s="61">
        <f t="shared" si="6"/>
        <v>2.7092485272291871</v>
      </c>
      <c r="AE28" s="11">
        <f t="shared" si="7"/>
        <v>2.3383592785180509E-2</v>
      </c>
      <c r="AF28" s="12">
        <f t="shared" si="8"/>
        <v>5.7986340767273787E-6</v>
      </c>
      <c r="AG28" s="12">
        <f t="shared" si="9"/>
        <v>1.6948057229269987E-2</v>
      </c>
      <c r="AH28" s="12">
        <f t="shared" si="10"/>
        <v>4.3275649207492162E-4</v>
      </c>
      <c r="AI28" s="12">
        <f t="shared" si="11"/>
        <v>4.1977384984663292E-4</v>
      </c>
      <c r="AJ28" s="12">
        <f t="shared" si="12"/>
        <v>9.7179230889881059E-6</v>
      </c>
      <c r="AK28" s="14">
        <f t="shared" si="13"/>
        <v>7.4225987047374991E-3</v>
      </c>
      <c r="AL28" s="15" t="s">
        <v>10</v>
      </c>
      <c r="AM28" s="12" t="s">
        <v>11</v>
      </c>
      <c r="AN28" s="14"/>
    </row>
    <row r="29" spans="1:40" x14ac:dyDescent="0.25">
      <c r="A29" s="11" t="s">
        <v>6</v>
      </c>
      <c r="B29" s="12">
        <v>34</v>
      </c>
      <c r="C29" s="12"/>
      <c r="D29" s="12">
        <v>34017</v>
      </c>
      <c r="E29" s="12" t="s">
        <v>21</v>
      </c>
      <c r="F29" s="12" t="s">
        <v>36</v>
      </c>
      <c r="G29" s="12">
        <v>28500201</v>
      </c>
      <c r="H29" s="123" t="s">
        <v>49</v>
      </c>
      <c r="I29" s="123" t="s">
        <v>50</v>
      </c>
      <c r="J29" s="123" t="s">
        <v>51</v>
      </c>
      <c r="K29" s="123" t="s">
        <v>52</v>
      </c>
      <c r="L29" s="124" t="s">
        <v>53</v>
      </c>
      <c r="M29" s="11">
        <v>25.4332943</v>
      </c>
      <c r="N29" s="12">
        <v>1.328791E-2</v>
      </c>
      <c r="O29" s="12">
        <v>373.67880000000002</v>
      </c>
      <c r="P29" s="12">
        <v>10.936389999999999</v>
      </c>
      <c r="Q29" s="12">
        <v>4.1404197700000003</v>
      </c>
      <c r="R29" s="12">
        <v>8.5846863699999998E-2</v>
      </c>
      <c r="S29" s="13">
        <v>10.66714872</v>
      </c>
      <c r="T29" s="64">
        <v>1.0195107175208789</v>
      </c>
      <c r="U29" s="12">
        <v>8.0804333308599929E-2</v>
      </c>
      <c r="V29" s="12">
        <v>0.10438387423935092</v>
      </c>
      <c r="W29" s="14">
        <v>0.10508474576271187</v>
      </c>
      <c r="X29" s="11">
        <f t="shared" si="0"/>
        <v>25.929516120712677</v>
      </c>
      <c r="Y29" s="15">
        <f t="shared" si="1"/>
        <v>1.073720708614678E-3</v>
      </c>
      <c r="Z29" s="12">
        <f t="shared" si="2"/>
        <v>350.18555169771491</v>
      </c>
      <c r="AA29" s="12">
        <f t="shared" si="3"/>
        <v>9.985910958869967</v>
      </c>
      <c r="AB29" s="12">
        <f t="shared" si="4"/>
        <v>3.7805768773393118</v>
      </c>
      <c r="AC29" s="12">
        <f t="shared" si="5"/>
        <v>8.752179760770408E-2</v>
      </c>
      <c r="AD29" s="61">
        <f t="shared" si="6"/>
        <v>9.7324472054009803</v>
      </c>
      <c r="AE29" s="11">
        <f t="shared" si="7"/>
        <v>7.1039770193733365E-2</v>
      </c>
      <c r="AF29" s="12">
        <f t="shared" si="8"/>
        <v>2.9417005715470632E-6</v>
      </c>
      <c r="AG29" s="12">
        <f t="shared" si="9"/>
        <v>0.95941247040469835</v>
      </c>
      <c r="AH29" s="12">
        <f t="shared" si="10"/>
        <v>2.735866016128758E-2</v>
      </c>
      <c r="AI29" s="12">
        <f t="shared" si="11"/>
        <v>1.0357744869422772E-2</v>
      </c>
      <c r="AJ29" s="12">
        <f t="shared" si="12"/>
        <v>2.3978574687042213E-4</v>
      </c>
      <c r="AK29" s="14">
        <f t="shared" si="13"/>
        <v>2.6664238918906794E-2</v>
      </c>
      <c r="AL29" s="15" t="s">
        <v>10</v>
      </c>
      <c r="AM29" s="12" t="s">
        <v>11</v>
      </c>
      <c r="AN29" s="14"/>
    </row>
    <row r="30" spans="1:40" ht="30" x14ac:dyDescent="0.25">
      <c r="A30" s="11" t="s">
        <v>6</v>
      </c>
      <c r="B30" s="12">
        <v>34</v>
      </c>
      <c r="C30" s="12"/>
      <c r="D30" s="12">
        <v>34017</v>
      </c>
      <c r="E30" s="12" t="s">
        <v>21</v>
      </c>
      <c r="F30" s="12" t="s">
        <v>8</v>
      </c>
      <c r="G30" s="12">
        <v>2285002006</v>
      </c>
      <c r="H30" s="123" t="s">
        <v>49</v>
      </c>
      <c r="I30" s="123" t="s">
        <v>50</v>
      </c>
      <c r="J30" s="123" t="s">
        <v>51</v>
      </c>
      <c r="K30" s="123" t="s">
        <v>56</v>
      </c>
      <c r="L30" s="124" t="s">
        <v>53</v>
      </c>
      <c r="M30" s="11">
        <v>24.308350000000001</v>
      </c>
      <c r="N30" s="12">
        <v>7.6172180300000003E-2</v>
      </c>
      <c r="O30" s="12">
        <v>162.87817699999999</v>
      </c>
      <c r="P30" s="12">
        <v>3.601359</v>
      </c>
      <c r="Q30" s="12">
        <v>10.60829</v>
      </c>
      <c r="R30" s="12">
        <v>0.1635228</v>
      </c>
      <c r="S30" s="13">
        <v>17.28613</v>
      </c>
      <c r="T30" s="64">
        <v>1.0195107175208789</v>
      </c>
      <c r="U30" s="12">
        <v>8.0804333308599929E-2</v>
      </c>
      <c r="V30" s="12">
        <v>0.10438387423935092</v>
      </c>
      <c r="W30" s="14">
        <v>0.10508474576271187</v>
      </c>
      <c r="X30" s="11">
        <f t="shared" si="0"/>
        <v>24.782623350248656</v>
      </c>
      <c r="Y30" s="15">
        <f t="shared" si="1"/>
        <v>6.1550422458039695E-3</v>
      </c>
      <c r="Z30" s="12">
        <f t="shared" si="2"/>
        <v>152.6379989238433</v>
      </c>
      <c r="AA30" s="12">
        <f t="shared" si="3"/>
        <v>3.2883657500258301</v>
      </c>
      <c r="AB30" s="12">
        <f t="shared" si="4"/>
        <v>9.6863260514548859</v>
      </c>
      <c r="AC30" s="12">
        <f t="shared" si="5"/>
        <v>0.16671324715902316</v>
      </c>
      <c r="AD30" s="61">
        <f t="shared" si="6"/>
        <v>15.77144483748212</v>
      </c>
      <c r="AE30" s="11">
        <f t="shared" si="7"/>
        <v>6.7897598219859329E-2</v>
      </c>
      <c r="AF30" s="12">
        <f t="shared" si="8"/>
        <v>1.6863129440558821E-5</v>
      </c>
      <c r="AG30" s="12">
        <f t="shared" si="9"/>
        <v>0.41818629842148847</v>
      </c>
      <c r="AH30" s="12">
        <f t="shared" si="10"/>
        <v>9.0092212329474803E-3</v>
      </c>
      <c r="AI30" s="12">
        <f t="shared" si="11"/>
        <v>2.6537879593027086E-2</v>
      </c>
      <c r="AJ30" s="12">
        <f t="shared" si="12"/>
        <v>4.5674862235348812E-4</v>
      </c>
      <c r="AK30" s="14">
        <f t="shared" si="13"/>
        <v>4.320943791090992E-2</v>
      </c>
      <c r="AL30" s="15" t="s">
        <v>10</v>
      </c>
      <c r="AM30" s="12" t="s">
        <v>11</v>
      </c>
      <c r="AN30" s="14"/>
    </row>
    <row r="31" spans="1:40" ht="30" x14ac:dyDescent="0.25">
      <c r="A31" s="11" t="s">
        <v>6</v>
      </c>
      <c r="B31" s="12">
        <v>34</v>
      </c>
      <c r="C31" s="12"/>
      <c r="D31" s="12">
        <v>34017</v>
      </c>
      <c r="E31" s="12" t="s">
        <v>21</v>
      </c>
      <c r="F31" s="12" t="s">
        <v>8</v>
      </c>
      <c r="G31" s="12">
        <v>2285002007</v>
      </c>
      <c r="H31" s="123" t="s">
        <v>49</v>
      </c>
      <c r="I31" s="123" t="s">
        <v>50</v>
      </c>
      <c r="J31" s="123" t="s">
        <v>51</v>
      </c>
      <c r="K31" s="123" t="s">
        <v>54</v>
      </c>
      <c r="L31" s="124" t="s">
        <v>53</v>
      </c>
      <c r="M31" s="11">
        <v>4.2470270000000001</v>
      </c>
      <c r="N31" s="12">
        <v>7.6054999999999998E-2</v>
      </c>
      <c r="O31" s="12">
        <v>33.687150000000003</v>
      </c>
      <c r="P31" s="12">
        <v>0.98668199999999995</v>
      </c>
      <c r="Q31" s="12">
        <v>0.95708150000000003</v>
      </c>
      <c r="R31" s="12">
        <v>8.5722000000000007E-2</v>
      </c>
      <c r="S31" s="13">
        <v>1.5594190000000001</v>
      </c>
      <c r="T31" s="64">
        <v>1.0195107175208789</v>
      </c>
      <c r="U31" s="12">
        <v>8.0804333308599929E-2</v>
      </c>
      <c r="V31" s="12">
        <v>0.10438387423935092</v>
      </c>
      <c r="W31" s="14">
        <v>0.10508474576271187</v>
      </c>
      <c r="X31" s="11">
        <f t="shared" si="0"/>
        <v>4.3298895441005456</v>
      </c>
      <c r="Y31" s="15">
        <f t="shared" si="1"/>
        <v>6.1455735697855673E-3</v>
      </c>
      <c r="Z31" s="12">
        <f t="shared" si="2"/>
        <v>31.569233277011371</v>
      </c>
      <c r="AA31" s="12">
        <f t="shared" si="3"/>
        <v>0.90092970319454024</v>
      </c>
      <c r="AB31" s="12">
        <f t="shared" si="4"/>
        <v>0.87390177557509441</v>
      </c>
      <c r="AC31" s="12">
        <f t="shared" si="5"/>
        <v>8.7394497727324785E-2</v>
      </c>
      <c r="AD31" s="61">
        <f t="shared" si="6"/>
        <v>1.4227759907522119</v>
      </c>
      <c r="AE31" s="11">
        <f t="shared" si="7"/>
        <v>1.1862711079727523E-2</v>
      </c>
      <c r="AF31" s="12">
        <f t="shared" si="8"/>
        <v>1.6837187862426212E-5</v>
      </c>
      <c r="AG31" s="12">
        <f t="shared" si="9"/>
        <v>8.6491050074003761E-2</v>
      </c>
      <c r="AH31" s="12">
        <f t="shared" si="10"/>
        <v>2.4683005566973706E-3</v>
      </c>
      <c r="AI31" s="12">
        <f t="shared" si="11"/>
        <v>2.3942514399317655E-3</v>
      </c>
      <c r="AJ31" s="12">
        <f t="shared" si="12"/>
        <v>2.3943698007486243E-4</v>
      </c>
      <c r="AK31" s="14">
        <f t="shared" si="13"/>
        <v>3.8980164130197588E-3</v>
      </c>
      <c r="AL31" s="15" t="s">
        <v>10</v>
      </c>
      <c r="AM31" s="12" t="s">
        <v>11</v>
      </c>
      <c r="AN31" s="14"/>
    </row>
    <row r="32" spans="1:40" ht="30" x14ac:dyDescent="0.25">
      <c r="A32" s="11" t="s">
        <v>6</v>
      </c>
      <c r="B32" s="12">
        <v>34</v>
      </c>
      <c r="C32" s="12"/>
      <c r="D32" s="12">
        <v>34017</v>
      </c>
      <c r="E32" s="12" t="s">
        <v>21</v>
      </c>
      <c r="F32" s="12" t="s">
        <v>8</v>
      </c>
      <c r="G32" s="12">
        <v>2285002009</v>
      </c>
      <c r="H32" s="123" t="s">
        <v>49</v>
      </c>
      <c r="I32" s="123" t="s">
        <v>50</v>
      </c>
      <c r="J32" s="123" t="s">
        <v>51</v>
      </c>
      <c r="K32" s="123" t="s">
        <v>55</v>
      </c>
      <c r="L32" s="124" t="s">
        <v>53</v>
      </c>
      <c r="M32" s="11">
        <v>46.370620000000002</v>
      </c>
      <c r="N32" s="12">
        <v>0.1450823</v>
      </c>
      <c r="O32" s="12">
        <v>123.0475</v>
      </c>
      <c r="P32" s="12">
        <v>4.2684739799999996</v>
      </c>
      <c r="Q32" s="12">
        <v>3.4932690000000002</v>
      </c>
      <c r="R32" s="12">
        <v>1.497685E-2</v>
      </c>
      <c r="S32" s="13">
        <v>5.6735199999999999</v>
      </c>
      <c r="T32" s="64">
        <v>1.0338579999999999</v>
      </c>
      <c r="U32" s="12">
        <v>8.0804333308599929E-2</v>
      </c>
      <c r="V32" s="12">
        <v>0.10438387423935092</v>
      </c>
      <c r="W32" s="14">
        <v>0.10508474576271187</v>
      </c>
      <c r="X32" s="11">
        <f t="shared" si="0"/>
        <v>47.940636451960003</v>
      </c>
      <c r="Y32" s="15">
        <f t="shared" si="1"/>
        <v>1.1723278526378287E-2</v>
      </c>
      <c r="Z32" s="12">
        <f t="shared" si="2"/>
        <v>116.93422870482598</v>
      </c>
      <c r="AA32" s="12">
        <f t="shared" si="3"/>
        <v>3.9523503554532806</v>
      </c>
      <c r="AB32" s="12">
        <f t="shared" si="4"/>
        <v>3.2345571364696304</v>
      </c>
      <c r="AC32" s="12">
        <f t="shared" si="5"/>
        <v>1.5483936187299999E-2</v>
      </c>
      <c r="AD32" s="61">
        <f t="shared" si="6"/>
        <v>5.2492274800075931</v>
      </c>
      <c r="AE32" s="11">
        <f t="shared" si="7"/>
        <v>0.13134420945742467</v>
      </c>
      <c r="AF32" s="12">
        <f t="shared" si="8"/>
        <v>3.2118571305145993E-5</v>
      </c>
      <c r="AG32" s="12">
        <f t="shared" si="9"/>
        <v>0.32036774987623556</v>
      </c>
      <c r="AH32" s="12">
        <f t="shared" si="10"/>
        <v>1.0828357138228165E-2</v>
      </c>
      <c r="AI32" s="12">
        <f t="shared" si="11"/>
        <v>8.8618003738893981E-3</v>
      </c>
      <c r="AJ32" s="12">
        <f t="shared" si="12"/>
        <v>4.2421742978904107E-5</v>
      </c>
      <c r="AK32" s="14">
        <f t="shared" si="13"/>
        <v>1.4381445150705734E-2</v>
      </c>
      <c r="AL32" s="15" t="s">
        <v>10</v>
      </c>
      <c r="AM32" s="12" t="s">
        <v>11</v>
      </c>
      <c r="AN32" s="14"/>
    </row>
    <row r="33" spans="1:40" ht="30" x14ac:dyDescent="0.25">
      <c r="A33" s="11" t="s">
        <v>6</v>
      </c>
      <c r="B33" s="12">
        <v>34</v>
      </c>
      <c r="C33" s="12"/>
      <c r="D33" s="12">
        <v>34019</v>
      </c>
      <c r="E33" s="12" t="s">
        <v>37</v>
      </c>
      <c r="F33" s="12" t="s">
        <v>8</v>
      </c>
      <c r="G33" s="12">
        <v>2285002006</v>
      </c>
      <c r="H33" s="123" t="s">
        <v>49</v>
      </c>
      <c r="I33" s="123" t="s">
        <v>50</v>
      </c>
      <c r="J33" s="123" t="s">
        <v>51</v>
      </c>
      <c r="K33" s="123" t="s">
        <v>56</v>
      </c>
      <c r="L33" s="124" t="s">
        <v>53</v>
      </c>
      <c r="M33" s="11">
        <v>25.055630000000001</v>
      </c>
      <c r="N33" s="12">
        <v>5.2384739999999995E-4</v>
      </c>
      <c r="O33" s="12">
        <v>1.3492390000000001</v>
      </c>
      <c r="P33" s="12">
        <v>6.5496639999999999</v>
      </c>
      <c r="Q33" s="12">
        <v>3.6006580000000001</v>
      </c>
      <c r="R33" s="12">
        <v>5.904304E-4</v>
      </c>
      <c r="S33" s="13">
        <v>10.352449999999999</v>
      </c>
      <c r="T33" s="64">
        <v>1.0195107175208789</v>
      </c>
      <c r="U33" s="12">
        <v>8.0804333308599929E-2</v>
      </c>
      <c r="V33" s="12">
        <v>0.10438387423935092</v>
      </c>
      <c r="W33" s="14">
        <v>0.10508474576271187</v>
      </c>
      <c r="X33" s="11">
        <f t="shared" si="0"/>
        <v>25.54448331923766</v>
      </c>
      <c r="Y33" s="15">
        <f t="shared" si="1"/>
        <v>4.2329139912443468E-5</v>
      </c>
      <c r="Z33" s="12">
        <f t="shared" si="2"/>
        <v>1.2644121196789144</v>
      </c>
      <c r="AA33" s="12">
        <f t="shared" si="3"/>
        <v>5.980434267113381</v>
      </c>
      <c r="AB33" s="12">
        <f t="shared" si="4"/>
        <v>3.2877256737682927</v>
      </c>
      <c r="AC33" s="12">
        <f t="shared" si="5"/>
        <v>6.0195012075013946E-4</v>
      </c>
      <c r="AD33" s="61">
        <f t="shared" si="6"/>
        <v>9.4453237426648879</v>
      </c>
      <c r="AE33" s="11">
        <f t="shared" si="7"/>
        <v>6.9984885806130576E-2</v>
      </c>
      <c r="AF33" s="12">
        <f t="shared" si="8"/>
        <v>1.1597024633546155E-7</v>
      </c>
      <c r="AG33" s="12">
        <f t="shared" si="9"/>
        <v>3.4641427936408613E-3</v>
      </c>
      <c r="AH33" s="12">
        <f t="shared" si="10"/>
        <v>1.6384751416748989E-2</v>
      </c>
      <c r="AI33" s="12">
        <f t="shared" si="11"/>
        <v>9.0074675993651859E-3</v>
      </c>
      <c r="AJ33" s="12">
        <f t="shared" si="12"/>
        <v>1.6491784130140806E-6</v>
      </c>
      <c r="AK33" s="14">
        <f t="shared" si="13"/>
        <v>2.5877599294972294E-2</v>
      </c>
      <c r="AL33" s="15" t="s">
        <v>10</v>
      </c>
      <c r="AM33" s="12" t="s">
        <v>11</v>
      </c>
      <c r="AN33" s="14"/>
    </row>
    <row r="34" spans="1:40" ht="30" x14ac:dyDescent="0.25">
      <c r="A34" s="11" t="s">
        <v>6</v>
      </c>
      <c r="B34" s="12">
        <v>34</v>
      </c>
      <c r="C34" s="12"/>
      <c r="D34" s="12">
        <v>34019</v>
      </c>
      <c r="E34" s="12" t="s">
        <v>37</v>
      </c>
      <c r="F34" s="12" t="s">
        <v>8</v>
      </c>
      <c r="G34" s="12">
        <v>2285002007</v>
      </c>
      <c r="H34" s="123" t="s">
        <v>49</v>
      </c>
      <c r="I34" s="123" t="s">
        <v>50</v>
      </c>
      <c r="J34" s="123" t="s">
        <v>51</v>
      </c>
      <c r="K34" s="123" t="s">
        <v>54</v>
      </c>
      <c r="L34" s="124" t="s">
        <v>53</v>
      </c>
      <c r="M34" s="11">
        <v>0.16743</v>
      </c>
      <c r="N34" s="12">
        <v>7.8393000000000004E-2</v>
      </c>
      <c r="O34" s="12">
        <v>223.79150000000001</v>
      </c>
      <c r="P34" s="12">
        <v>3.7120709999999999</v>
      </c>
      <c r="Q34" s="12">
        <v>6.3531740000000001</v>
      </c>
      <c r="R34" s="12">
        <v>8.8357000000000005E-2</v>
      </c>
      <c r="S34" s="13">
        <v>5.8479330000000003</v>
      </c>
      <c r="T34" s="64">
        <v>1.0195107175208789</v>
      </c>
      <c r="U34" s="12">
        <v>8.0804333308599929E-2</v>
      </c>
      <c r="V34" s="12">
        <v>0.10438387423935092</v>
      </c>
      <c r="W34" s="14">
        <v>0.10508474576271187</v>
      </c>
      <c r="X34" s="11">
        <f t="shared" si="0"/>
        <v>0.17069667943452074</v>
      </c>
      <c r="Y34" s="15">
        <f t="shared" si="1"/>
        <v>6.3344941010610748E-3</v>
      </c>
      <c r="Z34" s="12">
        <f t="shared" si="2"/>
        <v>209.72169117637708</v>
      </c>
      <c r="AA34" s="12">
        <f t="shared" si="3"/>
        <v>3.3894557965657222</v>
      </c>
      <c r="AB34" s="12">
        <f t="shared" si="4"/>
        <v>5.8010211660527604</v>
      </c>
      <c r="AC34" s="12">
        <f t="shared" si="5"/>
        <v>9.0080908467992299E-2</v>
      </c>
      <c r="AD34" s="61">
        <f t="shared" si="6"/>
        <v>5.3355119233044839</v>
      </c>
      <c r="AE34" s="11">
        <f t="shared" si="7"/>
        <v>4.6766213543704313E-4</v>
      </c>
      <c r="AF34" s="12">
        <f t="shared" si="8"/>
        <v>1.7354778359071437E-5</v>
      </c>
      <c r="AG34" s="12">
        <f t="shared" si="9"/>
        <v>0.57457997582569065</v>
      </c>
      <c r="AH34" s="12">
        <f t="shared" si="10"/>
        <v>9.2861802645636225E-3</v>
      </c>
      <c r="AI34" s="12">
        <f t="shared" si="11"/>
        <v>1.5893208674117153E-2</v>
      </c>
      <c r="AJ34" s="12">
        <f t="shared" si="12"/>
        <v>2.4679700950134875E-4</v>
      </c>
      <c r="AK34" s="14">
        <f t="shared" si="13"/>
        <v>1.4617840885765709E-2</v>
      </c>
      <c r="AL34" s="15" t="s">
        <v>10</v>
      </c>
      <c r="AM34" s="12" t="s">
        <v>11</v>
      </c>
      <c r="AN34" s="14"/>
    </row>
    <row r="35" spans="1:40" ht="30" x14ac:dyDescent="0.25">
      <c r="A35" s="11" t="s">
        <v>6</v>
      </c>
      <c r="B35" s="12">
        <v>34</v>
      </c>
      <c r="C35" s="12"/>
      <c r="D35" s="12">
        <v>34019</v>
      </c>
      <c r="E35" s="12" t="s">
        <v>37</v>
      </c>
      <c r="F35" s="12" t="s">
        <v>8</v>
      </c>
      <c r="G35" s="12">
        <v>2285002009</v>
      </c>
      <c r="H35" s="123" t="s">
        <v>49</v>
      </c>
      <c r="I35" s="123" t="s">
        <v>50</v>
      </c>
      <c r="J35" s="123" t="s">
        <v>51</v>
      </c>
      <c r="K35" s="123" t="s">
        <v>55</v>
      </c>
      <c r="L35" s="124" t="s">
        <v>53</v>
      </c>
      <c r="M35" s="11">
        <v>27.770779999999998</v>
      </c>
      <c r="N35" s="12">
        <v>8.688796E-2</v>
      </c>
      <c r="O35" s="12">
        <v>126.8302</v>
      </c>
      <c r="P35" s="12">
        <v>3.9487910000000001E-2</v>
      </c>
      <c r="Q35" s="12">
        <v>3.830327E-2</v>
      </c>
      <c r="R35" s="12">
        <v>9.7931760000000007E-2</v>
      </c>
      <c r="S35" s="13">
        <v>6.2414879999999999E-2</v>
      </c>
      <c r="T35" s="64">
        <v>1.0338579999999999</v>
      </c>
      <c r="U35" s="12">
        <v>8.0804333308599929E-2</v>
      </c>
      <c r="V35" s="12">
        <v>0.10438387423935092</v>
      </c>
      <c r="W35" s="14">
        <v>0.10508474576271187</v>
      </c>
      <c r="X35" s="11">
        <f t="shared" si="0"/>
        <v>28.711043069239995</v>
      </c>
      <c r="Y35" s="15">
        <f t="shared" si="1"/>
        <v>7.0209236803442984E-3</v>
      </c>
      <c r="Z35" s="12">
        <f t="shared" si="2"/>
        <v>120.52899582257926</v>
      </c>
      <c r="AA35" s="12">
        <f t="shared" si="3"/>
        <v>3.6563431300243553E-2</v>
      </c>
      <c r="AB35" s="12">
        <f t="shared" si="4"/>
        <v>3.5466525861198521E-2</v>
      </c>
      <c r="AC35" s="12">
        <f t="shared" si="5"/>
        <v>0.10124753353007999</v>
      </c>
      <c r="AD35" s="61">
        <f t="shared" si="6"/>
        <v>5.7747201606300202E-2</v>
      </c>
      <c r="AE35" s="11">
        <f t="shared" si="7"/>
        <v>7.8660391970520535E-2</v>
      </c>
      <c r="AF35" s="12">
        <f t="shared" si="8"/>
        <v>1.9235407343409035E-5</v>
      </c>
      <c r="AG35" s="12">
        <f t="shared" si="9"/>
        <v>0.33021642691117609</v>
      </c>
      <c r="AH35" s="12">
        <f t="shared" si="10"/>
        <v>1.0017378438422891E-4</v>
      </c>
      <c r="AI35" s="12">
        <f t="shared" si="11"/>
        <v>9.7168564003283613E-5</v>
      </c>
      <c r="AJ35" s="12">
        <f t="shared" si="12"/>
        <v>2.7739050282213698E-4</v>
      </c>
      <c r="AK35" s="14">
        <f t="shared" si="13"/>
        <v>1.5821151125013753E-4</v>
      </c>
      <c r="AL35" s="15" t="s">
        <v>10</v>
      </c>
      <c r="AM35" s="12" t="s">
        <v>11</v>
      </c>
      <c r="AN35" s="14"/>
    </row>
    <row r="36" spans="1:40" ht="30" x14ac:dyDescent="0.25">
      <c r="A36" s="11" t="s">
        <v>6</v>
      </c>
      <c r="B36" s="12">
        <v>34</v>
      </c>
      <c r="C36" s="12"/>
      <c r="D36" s="12">
        <v>34021</v>
      </c>
      <c r="E36" s="12" t="s">
        <v>22</v>
      </c>
      <c r="F36" s="12" t="s">
        <v>8</v>
      </c>
      <c r="G36" s="12">
        <v>2285002006</v>
      </c>
      <c r="H36" s="123" t="s">
        <v>49</v>
      </c>
      <c r="I36" s="123" t="s">
        <v>50</v>
      </c>
      <c r="J36" s="123" t="s">
        <v>51</v>
      </c>
      <c r="K36" s="123" t="s">
        <v>56</v>
      </c>
      <c r="L36" s="124" t="s">
        <v>53</v>
      </c>
      <c r="M36" s="11">
        <v>10.58836</v>
      </c>
      <c r="N36" s="12">
        <v>2.2831299999999999E-2</v>
      </c>
      <c r="O36" s="12">
        <v>53.597709999999999</v>
      </c>
      <c r="P36" s="12">
        <v>1.721036</v>
      </c>
      <c r="Q36" s="12">
        <v>1.669405</v>
      </c>
      <c r="R36" s="12">
        <v>2.5733240000000001E-2</v>
      </c>
      <c r="S36" s="13">
        <v>2.7202820000000001</v>
      </c>
      <c r="T36" s="64">
        <v>1.0195107175208789</v>
      </c>
      <c r="U36" s="12">
        <v>8.0804333308599929E-2</v>
      </c>
      <c r="V36" s="12">
        <v>0.10438387423935092</v>
      </c>
      <c r="W36" s="14">
        <v>0.10508474576271187</v>
      </c>
      <c r="X36" s="11">
        <f t="shared" si="0"/>
        <v>10.794946500969372</v>
      </c>
      <c r="Y36" s="15">
        <f t="shared" si="1"/>
        <v>1.8448679750686374E-3</v>
      </c>
      <c r="Z36" s="12">
        <f t="shared" si="2"/>
        <v>50.228013058498718</v>
      </c>
      <c r="AA36" s="12">
        <f t="shared" si="3"/>
        <v>1.571461172563317</v>
      </c>
      <c r="AB36" s="12">
        <f t="shared" si="4"/>
        <v>1.5243174104336366</v>
      </c>
      <c r="AC36" s="12">
        <f t="shared" si="5"/>
        <v>2.6235313976536983E-2</v>
      </c>
      <c r="AD36" s="61">
        <f t="shared" si="6"/>
        <v>2.4819191748179343</v>
      </c>
      <c r="AE36" s="11">
        <f t="shared" si="7"/>
        <v>2.9575195893066772E-2</v>
      </c>
      <c r="AF36" s="12">
        <f t="shared" si="8"/>
        <v>5.0544328084072262E-6</v>
      </c>
      <c r="AG36" s="12">
        <f t="shared" si="9"/>
        <v>0.13761099468081842</v>
      </c>
      <c r="AH36" s="12">
        <f t="shared" si="10"/>
        <v>4.3053730755159367E-3</v>
      </c>
      <c r="AI36" s="12">
        <f t="shared" si="11"/>
        <v>4.1762120833798259E-3</v>
      </c>
      <c r="AJ36" s="12">
        <f t="shared" si="12"/>
        <v>7.1877572538457484E-5</v>
      </c>
      <c r="AK36" s="14">
        <f t="shared" si="13"/>
        <v>6.7997785611450257E-3</v>
      </c>
      <c r="AL36" s="15" t="s">
        <v>10</v>
      </c>
      <c r="AM36" s="12" t="s">
        <v>11</v>
      </c>
      <c r="AN36" s="14"/>
    </row>
    <row r="37" spans="1:40" ht="30" x14ac:dyDescent="0.25">
      <c r="A37" s="11" t="s">
        <v>6</v>
      </c>
      <c r="B37" s="12">
        <v>34</v>
      </c>
      <c r="C37" s="12"/>
      <c r="D37" s="12">
        <v>34021</v>
      </c>
      <c r="E37" s="12" t="s">
        <v>22</v>
      </c>
      <c r="F37" s="12" t="s">
        <v>8</v>
      </c>
      <c r="G37" s="12">
        <v>2285002007</v>
      </c>
      <c r="H37" s="123" t="s">
        <v>49</v>
      </c>
      <c r="I37" s="123" t="s">
        <v>50</v>
      </c>
      <c r="J37" s="123" t="s">
        <v>51</v>
      </c>
      <c r="K37" s="123" t="s">
        <v>54</v>
      </c>
      <c r="L37" s="124" t="s">
        <v>53</v>
      </c>
      <c r="M37" s="11">
        <v>4.8252829999999997E-2</v>
      </c>
      <c r="N37" s="12">
        <v>3.3127999999999998E-2</v>
      </c>
      <c r="O37" s="12">
        <v>58.805039999999998</v>
      </c>
      <c r="P37" s="12">
        <v>1.5686990000000001</v>
      </c>
      <c r="Q37" s="12">
        <v>1.521617</v>
      </c>
      <c r="R37" s="12">
        <v>1.701603E-4</v>
      </c>
      <c r="S37" s="13">
        <v>2.4713020000000001</v>
      </c>
      <c r="T37" s="64">
        <v>1.0195107175208789</v>
      </c>
      <c r="U37" s="12">
        <v>8.0804333308599929E-2</v>
      </c>
      <c r="V37" s="12">
        <v>0.10438387423935092</v>
      </c>
      <c r="W37" s="14">
        <v>0.10508474576271187</v>
      </c>
      <c r="X37" s="11">
        <f t="shared" si="0"/>
        <v>4.9194277335712987E-2</v>
      </c>
      <c r="Y37" s="15">
        <f t="shared" si="1"/>
        <v>2.6768859538472984E-3</v>
      </c>
      <c r="Z37" s="12">
        <f t="shared" si="2"/>
        <v>55.107957355370957</v>
      </c>
      <c r="AA37" s="12">
        <f t="shared" si="3"/>
        <v>1.4323637448251534</v>
      </c>
      <c r="AB37" s="12">
        <f t="shared" si="4"/>
        <v>1.3893736301926727</v>
      </c>
      <c r="AC37" s="12">
        <f t="shared" si="5"/>
        <v>1.7348024954656801E-4</v>
      </c>
      <c r="AD37" s="61">
        <f t="shared" si="6"/>
        <v>2.2547558747828025</v>
      </c>
      <c r="AE37" s="11">
        <f t="shared" si="7"/>
        <v>1.3477884201565203E-4</v>
      </c>
      <c r="AF37" s="12">
        <f t="shared" si="8"/>
        <v>7.3339341201295845E-6</v>
      </c>
      <c r="AG37" s="12">
        <f t="shared" si="9"/>
        <v>0.1509807050832081</v>
      </c>
      <c r="AH37" s="12">
        <f t="shared" si="10"/>
        <v>3.9242842323976802E-3</v>
      </c>
      <c r="AI37" s="12">
        <f t="shared" si="11"/>
        <v>3.8065030964182815E-3</v>
      </c>
      <c r="AJ37" s="12">
        <f t="shared" si="12"/>
        <v>4.7528835492210413E-7</v>
      </c>
      <c r="AK37" s="14">
        <f t="shared" si="13"/>
        <v>6.1774133555693219E-3</v>
      </c>
      <c r="AL37" s="15" t="s">
        <v>10</v>
      </c>
      <c r="AM37" s="12" t="s">
        <v>11</v>
      </c>
      <c r="AN37" s="14"/>
    </row>
    <row r="38" spans="1:40" ht="30" x14ac:dyDescent="0.25">
      <c r="A38" s="11" t="s">
        <v>6</v>
      </c>
      <c r="B38" s="12">
        <v>34</v>
      </c>
      <c r="C38" s="12"/>
      <c r="D38" s="12">
        <v>34021</v>
      </c>
      <c r="E38" s="12" t="s">
        <v>22</v>
      </c>
      <c r="F38" s="12" t="s">
        <v>8</v>
      </c>
      <c r="G38" s="12">
        <v>2285002009</v>
      </c>
      <c r="H38" s="123" t="s">
        <v>49</v>
      </c>
      <c r="I38" s="123" t="s">
        <v>50</v>
      </c>
      <c r="J38" s="123" t="s">
        <v>51</v>
      </c>
      <c r="K38" s="123" t="s">
        <v>55</v>
      </c>
      <c r="L38" s="124" t="s">
        <v>53</v>
      </c>
      <c r="M38" s="11">
        <v>7.2972460000000003</v>
      </c>
      <c r="N38" s="12">
        <v>1.5097130000000001E-4</v>
      </c>
      <c r="O38" s="12">
        <v>0.35924970000000001</v>
      </c>
      <c r="P38" s="12">
        <v>1.0556289999999999E-2</v>
      </c>
      <c r="Q38" s="12">
        <v>1.02396E-2</v>
      </c>
      <c r="R38" s="12">
        <v>3.7338999999999997E-2</v>
      </c>
      <c r="S38" s="13">
        <v>1.667774E-2</v>
      </c>
      <c r="T38" s="64">
        <v>1.0338579999999999</v>
      </c>
      <c r="U38" s="12">
        <v>8.0804333308599929E-2</v>
      </c>
      <c r="V38" s="12">
        <v>0.10438387423935092</v>
      </c>
      <c r="W38" s="14">
        <v>0.10508474576271187</v>
      </c>
      <c r="X38" s="11">
        <f t="shared" si="0"/>
        <v>7.5443161550679996</v>
      </c>
      <c r="Y38" s="15">
        <f t="shared" si="1"/>
        <v>1.2199135245232634E-5</v>
      </c>
      <c r="Z38" s="12">
        <f t="shared" si="2"/>
        <v>0.3414013822462067</v>
      </c>
      <c r="AA38" s="12">
        <f t="shared" si="3"/>
        <v>9.7744900705164679E-3</v>
      </c>
      <c r="AB38" s="12">
        <f t="shared" si="4"/>
        <v>9.4812541646791086E-3</v>
      </c>
      <c r="AC38" s="12">
        <f t="shared" si="5"/>
        <v>3.8603223861999998E-2</v>
      </c>
      <c r="AD38" s="61">
        <f t="shared" si="6"/>
        <v>1.543050013261993E-2</v>
      </c>
      <c r="AE38" s="11">
        <f t="shared" si="7"/>
        <v>2.0669359328953422E-2</v>
      </c>
      <c r="AF38" s="12">
        <f t="shared" si="8"/>
        <v>3.3422288343103109E-8</v>
      </c>
      <c r="AG38" s="12">
        <f t="shared" si="9"/>
        <v>9.3534625272933343E-4</v>
      </c>
      <c r="AH38" s="12">
        <f t="shared" si="10"/>
        <v>2.6779424850730048E-5</v>
      </c>
      <c r="AI38" s="12">
        <f t="shared" si="11"/>
        <v>2.5976038807340025E-5</v>
      </c>
      <c r="AJ38" s="12">
        <f t="shared" si="12"/>
        <v>1.0576225715616437E-4</v>
      </c>
      <c r="AK38" s="14">
        <f t="shared" si="13"/>
        <v>4.2275342829095703E-5</v>
      </c>
      <c r="AL38" s="15" t="s">
        <v>10</v>
      </c>
      <c r="AM38" s="12" t="s">
        <v>11</v>
      </c>
      <c r="AN38" s="14"/>
    </row>
    <row r="39" spans="1:40" x14ac:dyDescent="0.25">
      <c r="A39" s="11" t="s">
        <v>6</v>
      </c>
      <c r="B39" s="12">
        <v>34</v>
      </c>
      <c r="C39" s="12"/>
      <c r="D39" s="12">
        <v>34023</v>
      </c>
      <c r="E39" s="12" t="s">
        <v>25</v>
      </c>
      <c r="F39" s="12" t="s">
        <v>36</v>
      </c>
      <c r="G39" s="12">
        <v>28500201</v>
      </c>
      <c r="H39" s="123" t="s">
        <v>49</v>
      </c>
      <c r="I39" s="123" t="s">
        <v>50</v>
      </c>
      <c r="J39" s="123" t="s">
        <v>51</v>
      </c>
      <c r="K39" s="123" t="s">
        <v>52</v>
      </c>
      <c r="L39" s="124" t="s">
        <v>53</v>
      </c>
      <c r="M39" s="11">
        <v>10.0258436</v>
      </c>
      <c r="N39" s="12">
        <v>6.0019999999999997E-2</v>
      </c>
      <c r="O39" s="12">
        <v>97.104900000000001</v>
      </c>
      <c r="P39" s="12">
        <v>1.912336</v>
      </c>
      <c r="Q39" s="12">
        <v>1.6321595</v>
      </c>
      <c r="R39" s="12">
        <v>3.3840958999999997E-2</v>
      </c>
      <c r="S39" s="13">
        <v>4.2050071000000004</v>
      </c>
      <c r="T39" s="64">
        <v>1.0195107175208789</v>
      </c>
      <c r="U39" s="12">
        <v>8.0804333308599929E-2</v>
      </c>
      <c r="V39" s="12">
        <v>0.10438387423935092</v>
      </c>
      <c r="W39" s="14">
        <v>0.10508474576271187</v>
      </c>
      <c r="X39" s="11">
        <f t="shared" si="0"/>
        <v>10.221455002388112</v>
      </c>
      <c r="Y39" s="15">
        <f t="shared" si="1"/>
        <v>4.8498760851821672E-3</v>
      </c>
      <c r="Z39" s="12">
        <f t="shared" si="2"/>
        <v>90.999898787545447</v>
      </c>
      <c r="AA39" s="12">
        <f t="shared" si="3"/>
        <v>1.7461353352835405</v>
      </c>
      <c r="AB39" s="12">
        <f t="shared" si="4"/>
        <v>1.4903089079370548</v>
      </c>
      <c r="AC39" s="12">
        <f t="shared" si="5"/>
        <v>3.4501220391684642E-2</v>
      </c>
      <c r="AD39" s="61">
        <f t="shared" si="6"/>
        <v>3.8365462667971766</v>
      </c>
      <c r="AE39" s="11">
        <f t="shared" si="7"/>
        <v>2.8003986307912634E-2</v>
      </c>
      <c r="AF39" s="12">
        <f t="shared" si="8"/>
        <v>1.3287331740225115E-5</v>
      </c>
      <c r="AG39" s="12">
        <f t="shared" si="9"/>
        <v>0.24931479119875466</v>
      </c>
      <c r="AH39" s="12">
        <f t="shared" si="10"/>
        <v>4.7839324254343573E-3</v>
      </c>
      <c r="AI39" s="12">
        <f t="shared" si="11"/>
        <v>4.0830381039371364E-3</v>
      </c>
      <c r="AJ39" s="12">
        <f t="shared" si="12"/>
        <v>9.4523891484067518E-5</v>
      </c>
      <c r="AK39" s="14">
        <f t="shared" si="13"/>
        <v>1.0511085662458019E-2</v>
      </c>
      <c r="AL39" s="15" t="s">
        <v>10</v>
      </c>
      <c r="AM39" s="12" t="s">
        <v>11</v>
      </c>
      <c r="AN39" s="14"/>
    </row>
    <row r="40" spans="1:40" ht="30" x14ac:dyDescent="0.25">
      <c r="A40" s="11" t="s">
        <v>6</v>
      </c>
      <c r="B40" s="12">
        <v>34</v>
      </c>
      <c r="C40" s="12"/>
      <c r="D40" s="12">
        <v>34023</v>
      </c>
      <c r="E40" s="12" t="s">
        <v>25</v>
      </c>
      <c r="F40" s="12" t="s">
        <v>8</v>
      </c>
      <c r="G40" s="12">
        <v>2285002006</v>
      </c>
      <c r="H40" s="123" t="s">
        <v>49</v>
      </c>
      <c r="I40" s="123" t="s">
        <v>50</v>
      </c>
      <c r="J40" s="123" t="s">
        <v>51</v>
      </c>
      <c r="K40" s="123" t="s">
        <v>56</v>
      </c>
      <c r="L40" s="124" t="s">
        <v>53</v>
      </c>
      <c r="M40" s="11">
        <v>19.183309999999999</v>
      </c>
      <c r="N40" s="12">
        <v>2.716302E-2</v>
      </c>
      <c r="O40" s="12">
        <v>64.206823999999997</v>
      </c>
      <c r="P40" s="12">
        <v>1.6826392999999999</v>
      </c>
      <c r="Q40" s="12">
        <v>2.7567680000000001</v>
      </c>
      <c r="R40" s="12">
        <v>3.0615549999999998E-2</v>
      </c>
      <c r="S40" s="13">
        <v>3.0214050000000001</v>
      </c>
      <c r="T40" s="64">
        <v>1.0195107175208789</v>
      </c>
      <c r="U40" s="12">
        <v>8.0804333308599929E-2</v>
      </c>
      <c r="V40" s="12">
        <v>0.10438387423935092</v>
      </c>
      <c r="W40" s="14">
        <v>0.10508474576271187</v>
      </c>
      <c r="X40" s="11">
        <f t="shared" ref="X40:X64" si="14">M40*T40</f>
        <v>19.557590142525449</v>
      </c>
      <c r="Y40" s="15">
        <f t="shared" ref="Y40:Y64" si="15">N40*U40</f>
        <v>2.1948897217481662E-3</v>
      </c>
      <c r="Z40" s="12">
        <f t="shared" ref="Z40:Z64" si="16">O40*T40*(1-U40)</f>
        <v>60.170130296923666</v>
      </c>
      <c r="AA40" s="12">
        <f t="shared" ref="AA40:AA64" si="17">P40*T40*(1-V40)</f>
        <v>1.5364015205836012</v>
      </c>
      <c r="AB40" s="12">
        <f t="shared" ref="AB40:AB64" si="18">T40*Q40*(1-V40)</f>
        <v>2.5171779519806852</v>
      </c>
      <c r="AC40" s="12">
        <f t="shared" ref="AC40:AC64" si="19">R40*T40</f>
        <v>3.1212881347796342E-2</v>
      </c>
      <c r="AD40" s="61">
        <f t="shared" ref="AD40:AD64" si="20">S40*(T40)*(1-W40)</f>
        <v>2.7566564806114884</v>
      </c>
      <c r="AE40" s="11">
        <f t="shared" ref="AE40:AE64" si="21">X40/365</f>
        <v>5.3582438746645061E-2</v>
      </c>
      <c r="AF40" s="12">
        <f t="shared" ref="AF40:AF64" si="22">Y40/365</f>
        <v>6.0133964979401814E-6</v>
      </c>
      <c r="AG40" s="12">
        <f t="shared" ref="AG40:AG64" si="23">Z40/365</f>
        <v>0.16484967204636622</v>
      </c>
      <c r="AH40" s="12">
        <f t="shared" ref="AH40:AH64" si="24">AA40/365</f>
        <v>4.2093192344756199E-3</v>
      </c>
      <c r="AI40" s="12">
        <f t="shared" ref="AI40:AI64" si="25">AB40/365</f>
        <v>6.8963779506320145E-3</v>
      </c>
      <c r="AJ40" s="12">
        <f t="shared" ref="AJ40:AJ64" si="26">AC40/365</f>
        <v>8.5514743418620116E-5</v>
      </c>
      <c r="AK40" s="14">
        <f t="shared" ref="AK40:AK64" si="27">AD40/365</f>
        <v>7.5524835085246256E-3</v>
      </c>
      <c r="AL40" s="15" t="s">
        <v>10</v>
      </c>
      <c r="AM40" s="12" t="s">
        <v>11</v>
      </c>
      <c r="AN40" s="14"/>
    </row>
    <row r="41" spans="1:40" ht="30" x14ac:dyDescent="0.25">
      <c r="A41" s="11" t="s">
        <v>6</v>
      </c>
      <c r="B41" s="12">
        <v>34</v>
      </c>
      <c r="C41" s="12"/>
      <c r="D41" s="12">
        <v>34023</v>
      </c>
      <c r="E41" s="12" t="s">
        <v>25</v>
      </c>
      <c r="F41" s="12" t="s">
        <v>8</v>
      </c>
      <c r="G41" s="12">
        <v>2285002007</v>
      </c>
      <c r="H41" s="123" t="s">
        <v>49</v>
      </c>
      <c r="I41" s="123" t="s">
        <v>50</v>
      </c>
      <c r="J41" s="123" t="s">
        <v>51</v>
      </c>
      <c r="K41" s="123" t="s">
        <v>54</v>
      </c>
      <c r="L41" s="124" t="s">
        <v>53</v>
      </c>
      <c r="M41" s="11">
        <v>8.6817349999999998</v>
      </c>
      <c r="N41" s="12">
        <v>3.0027188999999999E-2</v>
      </c>
      <c r="O41" s="12">
        <v>223.49</v>
      </c>
      <c r="P41" s="12">
        <v>2.842069</v>
      </c>
      <c r="Q41" s="12">
        <v>6.3446129999999998</v>
      </c>
      <c r="R41" s="12">
        <v>6.7649000000000001E-2</v>
      </c>
      <c r="S41" s="13">
        <v>4.477347</v>
      </c>
      <c r="T41" s="64">
        <v>1.0195107175208789</v>
      </c>
      <c r="U41" s="12">
        <v>8.0804333308599929E-2</v>
      </c>
      <c r="V41" s="12">
        <v>0.10438387423935092</v>
      </c>
      <c r="W41" s="14">
        <v>0.10508474576271187</v>
      </c>
      <c r="X41" s="11">
        <f t="shared" si="14"/>
        <v>8.8511218791761266</v>
      </c>
      <c r="Y41" s="15">
        <f t="shared" si="15"/>
        <v>2.4263269882763253E-3</v>
      </c>
      <c r="Z41" s="12">
        <f t="shared" si="16"/>
        <v>209.43914653151933</v>
      </c>
      <c r="AA41" s="12">
        <f t="shared" si="17"/>
        <v>2.5950654624574114</v>
      </c>
      <c r="AB41" s="12">
        <f t="shared" si="18"/>
        <v>5.7932042005167022</v>
      </c>
      <c r="AC41" s="12">
        <f t="shared" si="19"/>
        <v>6.896888052956994E-2</v>
      </c>
      <c r="AD41" s="61">
        <f t="shared" si="20"/>
        <v>4.0850225717824671</v>
      </c>
      <c r="AE41" s="11">
        <f t="shared" si="21"/>
        <v>2.4249648984044182E-2</v>
      </c>
      <c r="AF41" s="12">
        <f t="shared" si="22"/>
        <v>6.6474712007570552E-6</v>
      </c>
      <c r="AG41" s="12">
        <f t="shared" si="23"/>
        <v>0.57380588090827211</v>
      </c>
      <c r="AH41" s="12">
        <f t="shared" si="24"/>
        <v>7.1097683902942776E-3</v>
      </c>
      <c r="AI41" s="12">
        <f t="shared" si="25"/>
        <v>1.5871792330182745E-2</v>
      </c>
      <c r="AJ41" s="12">
        <f t="shared" si="26"/>
        <v>1.8895583706731491E-4</v>
      </c>
      <c r="AK41" s="14">
        <f t="shared" si="27"/>
        <v>1.1191842662417718E-2</v>
      </c>
      <c r="AL41" s="15" t="s">
        <v>10</v>
      </c>
      <c r="AM41" s="12" t="s">
        <v>11</v>
      </c>
      <c r="AN41" s="14"/>
    </row>
    <row r="42" spans="1:40" ht="30" x14ac:dyDescent="0.25">
      <c r="A42" s="11" t="s">
        <v>6</v>
      </c>
      <c r="B42" s="12">
        <v>34</v>
      </c>
      <c r="C42" s="12"/>
      <c r="D42" s="12">
        <v>34023</v>
      </c>
      <c r="E42" s="12" t="s">
        <v>25</v>
      </c>
      <c r="F42" s="12" t="s">
        <v>8</v>
      </c>
      <c r="G42" s="12">
        <v>2285002009</v>
      </c>
      <c r="H42" s="123" t="s">
        <v>49</v>
      </c>
      <c r="I42" s="123" t="s">
        <v>50</v>
      </c>
      <c r="J42" s="123" t="s">
        <v>51</v>
      </c>
      <c r="K42" s="123" t="s">
        <v>55</v>
      </c>
      <c r="L42" s="124" t="s">
        <v>53</v>
      </c>
      <c r="M42" s="11">
        <v>27.733360000000001</v>
      </c>
      <c r="N42" s="12">
        <v>8.6770890000000003E-2</v>
      </c>
      <c r="O42" s="12">
        <v>65.104879999999994</v>
      </c>
      <c r="P42" s="12">
        <v>6.5408390000000001</v>
      </c>
      <c r="Q42" s="12">
        <v>1.8549659999999999</v>
      </c>
      <c r="R42" s="12">
        <v>9.7799810000000001E-2</v>
      </c>
      <c r="S42" s="13">
        <v>10.3385</v>
      </c>
      <c r="T42" s="64">
        <v>1.0338579999999999</v>
      </c>
      <c r="U42" s="12">
        <v>8.0804333308599929E-2</v>
      </c>
      <c r="V42" s="12">
        <v>0.10438387423935092</v>
      </c>
      <c r="W42" s="14">
        <v>0.10508474576271187</v>
      </c>
      <c r="X42" s="11">
        <f t="shared" si="14"/>
        <v>28.672356102879998</v>
      </c>
      <c r="Y42" s="15">
        <f t="shared" si="15"/>
        <v>7.0114639170438609E-3</v>
      </c>
      <c r="Z42" s="12">
        <f t="shared" si="16"/>
        <v>61.870325912515497</v>
      </c>
      <c r="AA42" s="12">
        <f t="shared" si="17"/>
        <v>6.0564237869883133</v>
      </c>
      <c r="AB42" s="12">
        <f t="shared" si="18"/>
        <v>1.7175870261375588</v>
      </c>
      <c r="AC42" s="12">
        <f t="shared" si="19"/>
        <v>0.10111111596698</v>
      </c>
      <c r="AD42" s="61">
        <f t="shared" si="20"/>
        <v>9.5653383264813545</v>
      </c>
      <c r="AE42" s="11">
        <f t="shared" si="21"/>
        <v>7.8554400281863015E-2</v>
      </c>
      <c r="AF42" s="12">
        <f t="shared" si="22"/>
        <v>1.9209490183681811E-5</v>
      </c>
      <c r="AG42" s="12">
        <f t="shared" si="23"/>
        <v>0.16950774222606985</v>
      </c>
      <c r="AH42" s="12">
        <f t="shared" si="24"/>
        <v>1.6592941882159762E-2</v>
      </c>
      <c r="AI42" s="12">
        <f t="shared" si="25"/>
        <v>4.7057178798289283E-3</v>
      </c>
      <c r="AJ42" s="12">
        <f t="shared" si="26"/>
        <v>2.7701675607391782E-4</v>
      </c>
      <c r="AK42" s="14">
        <f t="shared" si="27"/>
        <v>2.620640637392152E-2</v>
      </c>
      <c r="AL42" s="15" t="s">
        <v>10</v>
      </c>
      <c r="AM42" s="12" t="s">
        <v>11</v>
      </c>
      <c r="AN42" s="14"/>
    </row>
    <row r="43" spans="1:40" ht="30" x14ac:dyDescent="0.25">
      <c r="A43" s="11" t="s">
        <v>6</v>
      </c>
      <c r="B43" s="12">
        <v>34</v>
      </c>
      <c r="C43" s="12"/>
      <c r="D43" s="12">
        <v>34025</v>
      </c>
      <c r="E43" s="12" t="s">
        <v>26</v>
      </c>
      <c r="F43" s="12" t="s">
        <v>8</v>
      </c>
      <c r="G43" s="12">
        <v>2285002007</v>
      </c>
      <c r="H43" s="123" t="s">
        <v>49</v>
      </c>
      <c r="I43" s="123" t="s">
        <v>50</v>
      </c>
      <c r="J43" s="123" t="s">
        <v>51</v>
      </c>
      <c r="K43" s="123" t="s">
        <v>54</v>
      </c>
      <c r="L43" s="124" t="s">
        <v>53</v>
      </c>
      <c r="M43" s="11">
        <v>0.78626759999999996</v>
      </c>
      <c r="N43" s="12">
        <v>2.4600389999999998E-3</v>
      </c>
      <c r="O43" s="12">
        <v>564.09479999999996</v>
      </c>
      <c r="P43" s="12">
        <v>0.17921090000000001</v>
      </c>
      <c r="Q43" s="12">
        <v>16.01398</v>
      </c>
      <c r="R43" s="12">
        <v>0.2468494</v>
      </c>
      <c r="S43" s="13">
        <v>0.28320459999999997</v>
      </c>
      <c r="T43" s="64">
        <v>1.0195107175208789</v>
      </c>
      <c r="U43" s="12">
        <v>8.0804333308599929E-2</v>
      </c>
      <c r="V43" s="12">
        <v>0.10438387423935092</v>
      </c>
      <c r="W43" s="14">
        <v>0.10508474576271187</v>
      </c>
      <c r="X43" s="11">
        <f t="shared" si="14"/>
        <v>0.8016082450394193</v>
      </c>
      <c r="Y43" s="15">
        <f t="shared" si="15"/>
        <v>1.9878181130815483E-4</v>
      </c>
      <c r="Z43" s="12">
        <f t="shared" si="16"/>
        <v>528.63006610975026</v>
      </c>
      <c r="AA43" s="12">
        <f t="shared" si="17"/>
        <v>0.16363572351195868</v>
      </c>
      <c r="AB43" s="12">
        <f t="shared" si="18"/>
        <v>14.62220882550133</v>
      </c>
      <c r="AC43" s="12">
        <f t="shared" si="19"/>
        <v>0.2516656089135984</v>
      </c>
      <c r="AD43" s="61">
        <f t="shared" si="20"/>
        <v>0.25838899317667918</v>
      </c>
      <c r="AE43" s="11">
        <f t="shared" si="21"/>
        <v>2.1961869727107376E-3</v>
      </c>
      <c r="AF43" s="12">
        <f t="shared" si="22"/>
        <v>5.4460770221412287E-7</v>
      </c>
      <c r="AG43" s="12">
        <f t="shared" si="23"/>
        <v>1.4483015509856172</v>
      </c>
      <c r="AH43" s="12">
        <f t="shared" si="24"/>
        <v>4.4831705071769501E-4</v>
      </c>
      <c r="AI43" s="12">
        <f t="shared" si="25"/>
        <v>4.0060846097263916E-2</v>
      </c>
      <c r="AJ43" s="12">
        <f t="shared" si="26"/>
        <v>6.8949481894136548E-4</v>
      </c>
      <c r="AK43" s="14">
        <f t="shared" si="27"/>
        <v>7.0791504979912103E-4</v>
      </c>
      <c r="AL43" s="15" t="s">
        <v>10</v>
      </c>
      <c r="AM43" s="12" t="s">
        <v>11</v>
      </c>
      <c r="AN43" s="14"/>
    </row>
    <row r="44" spans="1:40" ht="30" x14ac:dyDescent="0.25">
      <c r="A44" s="11" t="s">
        <v>6</v>
      </c>
      <c r="B44" s="12">
        <v>34</v>
      </c>
      <c r="C44" s="12"/>
      <c r="D44" s="12">
        <v>34025</v>
      </c>
      <c r="E44" s="12" t="s">
        <v>26</v>
      </c>
      <c r="F44" s="12" t="s">
        <v>8</v>
      </c>
      <c r="G44" s="12">
        <v>2285002009</v>
      </c>
      <c r="H44" s="123" t="s">
        <v>49</v>
      </c>
      <c r="I44" s="123" t="s">
        <v>50</v>
      </c>
      <c r="J44" s="123" t="s">
        <v>51</v>
      </c>
      <c r="K44" s="123" t="s">
        <v>55</v>
      </c>
      <c r="L44" s="124" t="s">
        <v>53</v>
      </c>
      <c r="M44" s="11">
        <v>69.999750000000006</v>
      </c>
      <c r="N44" s="12">
        <v>0.21901209999999999</v>
      </c>
      <c r="O44" s="12">
        <v>6.1124520000000002</v>
      </c>
      <c r="P44" s="12">
        <v>16.509260000000001</v>
      </c>
      <c r="Q44" s="12">
        <v>0.17383460000000001</v>
      </c>
      <c r="R44" s="12">
        <v>2.7727189999999999E-3</v>
      </c>
      <c r="S44" s="13">
        <v>26.094650000000001</v>
      </c>
      <c r="T44" s="64">
        <v>1.0338579999999999</v>
      </c>
      <c r="U44" s="12">
        <v>8.0804333308599929E-2</v>
      </c>
      <c r="V44" s="12">
        <v>0.10438387423935092</v>
      </c>
      <c r="W44" s="14">
        <v>0.10508474576271187</v>
      </c>
      <c r="X44" s="11">
        <f t="shared" si="14"/>
        <v>72.369801535500002</v>
      </c>
      <c r="Y44" s="15">
        <f t="shared" si="15"/>
        <v>1.7697126727016416E-2</v>
      </c>
      <c r="Z44" s="12">
        <f t="shared" si="16"/>
        <v>5.8087718979684348</v>
      </c>
      <c r="AA44" s="12">
        <f t="shared" si="17"/>
        <v>15.286582496461799</v>
      </c>
      <c r="AB44" s="12">
        <f t="shared" si="18"/>
        <v>0.16096039154022884</v>
      </c>
      <c r="AC44" s="12">
        <f t="shared" si="19"/>
        <v>2.8665977199019998E-3</v>
      </c>
      <c r="AD44" s="61">
        <f t="shared" si="20"/>
        <v>24.143169295460339</v>
      </c>
      <c r="AE44" s="11">
        <f t="shared" si="21"/>
        <v>0.19827342886438357</v>
      </c>
      <c r="AF44" s="12">
        <f t="shared" si="22"/>
        <v>4.8485278704154564E-5</v>
      </c>
      <c r="AG44" s="12">
        <f t="shared" si="23"/>
        <v>1.5914443556077903E-2</v>
      </c>
      <c r="AH44" s="12">
        <f t="shared" si="24"/>
        <v>4.1881047935511777E-2</v>
      </c>
      <c r="AI44" s="12">
        <f t="shared" si="25"/>
        <v>4.4098737408281876E-4</v>
      </c>
      <c r="AJ44" s="12">
        <f t="shared" si="26"/>
        <v>7.8536923832931495E-6</v>
      </c>
      <c r="AK44" s="14">
        <f t="shared" si="27"/>
        <v>6.6145669302631063E-2</v>
      </c>
      <c r="AL44" s="15" t="s">
        <v>10</v>
      </c>
      <c r="AM44" s="12" t="s">
        <v>11</v>
      </c>
      <c r="AN44" s="14"/>
    </row>
    <row r="45" spans="1:40" x14ac:dyDescent="0.25">
      <c r="A45" s="11" t="s">
        <v>6</v>
      </c>
      <c r="B45" s="12">
        <v>34</v>
      </c>
      <c r="C45" s="12"/>
      <c r="D45" s="12">
        <v>34027</v>
      </c>
      <c r="E45" s="12" t="s">
        <v>27</v>
      </c>
      <c r="F45" s="12" t="s">
        <v>36</v>
      </c>
      <c r="G45" s="12">
        <v>28500201</v>
      </c>
      <c r="H45" s="123" t="s">
        <v>49</v>
      </c>
      <c r="I45" s="123" t="s">
        <v>50</v>
      </c>
      <c r="J45" s="123" t="s">
        <v>51</v>
      </c>
      <c r="K45" s="123" t="s">
        <v>52</v>
      </c>
      <c r="L45" s="124" t="s">
        <v>53</v>
      </c>
      <c r="M45" s="11">
        <v>0.76695550000000001</v>
      </c>
      <c r="N45" s="12">
        <v>2.2970159999999998E-3</v>
      </c>
      <c r="O45" s="12">
        <v>9.703875</v>
      </c>
      <c r="P45" s="12">
        <v>0.12871827999999999</v>
      </c>
      <c r="Q45" s="12">
        <v>0.27548139999999999</v>
      </c>
      <c r="R45" s="12">
        <v>4.2464419999999996E-3</v>
      </c>
      <c r="S45" s="13">
        <v>0.32167400000000002</v>
      </c>
      <c r="T45" s="64">
        <v>1.0195107175208789</v>
      </c>
      <c r="U45" s="12">
        <v>8.0804333308599929E-2</v>
      </c>
      <c r="V45" s="12">
        <v>0.10438387423935092</v>
      </c>
      <c r="W45" s="14">
        <v>0.10508474576271187</v>
      </c>
      <c r="X45" s="11">
        <f t="shared" si="14"/>
        <v>0.78191935211158436</v>
      </c>
      <c r="Y45" s="15">
        <f t="shared" si="15"/>
        <v>1.8560884647918696E-4</v>
      </c>
      <c r="Z45" s="12">
        <f t="shared" si="16"/>
        <v>9.0937907649046803</v>
      </c>
      <c r="AA45" s="12">
        <f t="shared" si="17"/>
        <v>0.11753140504854827</v>
      </c>
      <c r="AB45" s="12">
        <f t="shared" si="18"/>
        <v>0.25153937736536836</v>
      </c>
      <c r="AC45" s="12">
        <f t="shared" si="19"/>
        <v>4.3292931303307953E-3</v>
      </c>
      <c r="AD45" s="61">
        <f t="shared" si="20"/>
        <v>0.29348753865973615</v>
      </c>
      <c r="AE45" s="11">
        <f t="shared" si="21"/>
        <v>2.1422448003057108E-3</v>
      </c>
      <c r="AF45" s="12">
        <f t="shared" si="22"/>
        <v>5.0851738761421085E-7</v>
      </c>
      <c r="AG45" s="12">
        <f t="shared" si="23"/>
        <v>2.4914495246314193E-2</v>
      </c>
      <c r="AH45" s="12">
        <f t="shared" si="24"/>
        <v>3.2200384944807743E-4</v>
      </c>
      <c r="AI45" s="12">
        <f t="shared" si="25"/>
        <v>6.8914897908320101E-4</v>
      </c>
      <c r="AJ45" s="12">
        <f t="shared" si="26"/>
        <v>1.186107706939944E-5</v>
      </c>
      <c r="AK45" s="14">
        <f t="shared" si="27"/>
        <v>8.0407544838283879E-4</v>
      </c>
      <c r="AL45" s="15" t="s">
        <v>10</v>
      </c>
      <c r="AM45" s="12" t="s">
        <v>11</v>
      </c>
      <c r="AN45" s="14"/>
    </row>
    <row r="46" spans="1:40" ht="30" x14ac:dyDescent="0.25">
      <c r="A46" s="11" t="s">
        <v>6</v>
      </c>
      <c r="B46" s="12">
        <v>34</v>
      </c>
      <c r="C46" s="12"/>
      <c r="D46" s="12">
        <v>34027</v>
      </c>
      <c r="E46" s="12" t="s">
        <v>27</v>
      </c>
      <c r="F46" s="12" t="s">
        <v>8</v>
      </c>
      <c r="G46" s="12">
        <v>2285002007</v>
      </c>
      <c r="H46" s="123" t="s">
        <v>49</v>
      </c>
      <c r="I46" s="123" t="s">
        <v>50</v>
      </c>
      <c r="J46" s="123" t="s">
        <v>51</v>
      </c>
      <c r="K46" s="123" t="s">
        <v>54</v>
      </c>
      <c r="L46" s="124" t="s">
        <v>53</v>
      </c>
      <c r="M46" s="11">
        <v>1.204175</v>
      </c>
      <c r="N46" s="12">
        <v>0.1174241</v>
      </c>
      <c r="O46" s="12">
        <v>4.9116840000000002</v>
      </c>
      <c r="P46" s="12">
        <v>0.28400150000000002</v>
      </c>
      <c r="Q46" s="12">
        <v>8.5859489999999994</v>
      </c>
      <c r="R46" s="12">
        <v>0.1323491</v>
      </c>
      <c r="S46" s="13">
        <v>13.990740000000001</v>
      </c>
      <c r="T46" s="64">
        <v>1.0195107175208789</v>
      </c>
      <c r="U46" s="12">
        <v>8.0804333308599929E-2</v>
      </c>
      <c r="V46" s="12">
        <v>0.10438387423935092</v>
      </c>
      <c r="W46" s="14">
        <v>0.10508474576271187</v>
      </c>
      <c r="X46" s="11">
        <f t="shared" si="14"/>
        <v>1.2276693182707044</v>
      </c>
      <c r="Y46" s="15">
        <f t="shared" si="15"/>
        <v>9.4883761148623694E-3</v>
      </c>
      <c r="Z46" s="12">
        <f t="shared" si="16"/>
        <v>4.6028856100609374</v>
      </c>
      <c r="AA46" s="12">
        <f t="shared" si="17"/>
        <v>0.25931899751065107</v>
      </c>
      <c r="AB46" s="12">
        <f t="shared" si="18"/>
        <v>7.8397462244304226</v>
      </c>
      <c r="AC46" s="12">
        <f t="shared" si="19"/>
        <v>0.13493132590424253</v>
      </c>
      <c r="AD46" s="61">
        <f t="shared" si="20"/>
        <v>12.764811102632841</v>
      </c>
      <c r="AE46" s="11">
        <f t="shared" si="21"/>
        <v>3.3634775843032995E-3</v>
      </c>
      <c r="AF46" s="12">
        <f t="shared" si="22"/>
        <v>2.599555099962293E-5</v>
      </c>
      <c r="AG46" s="12">
        <f t="shared" si="23"/>
        <v>1.2610645507016268E-2</v>
      </c>
      <c r="AH46" s="12">
        <f t="shared" si="24"/>
        <v>7.1046300687849608E-4</v>
      </c>
      <c r="AI46" s="12">
        <f t="shared" si="25"/>
        <v>2.1478756779261431E-2</v>
      </c>
      <c r="AJ46" s="12">
        <f t="shared" si="26"/>
        <v>3.6967486549107541E-4</v>
      </c>
      <c r="AK46" s="14">
        <f t="shared" si="27"/>
        <v>3.4972085212692718E-2</v>
      </c>
      <c r="AL46" s="15" t="s">
        <v>10</v>
      </c>
      <c r="AM46" s="12" t="s">
        <v>11</v>
      </c>
      <c r="AN46" s="14"/>
    </row>
    <row r="47" spans="1:40" ht="30" x14ac:dyDescent="0.25">
      <c r="A47" s="11" t="s">
        <v>6</v>
      </c>
      <c r="B47" s="12">
        <v>34</v>
      </c>
      <c r="C47" s="12"/>
      <c r="D47" s="12">
        <v>34027</v>
      </c>
      <c r="E47" s="12" t="s">
        <v>27</v>
      </c>
      <c r="F47" s="12" t="s">
        <v>8</v>
      </c>
      <c r="G47" s="12">
        <v>2285002009</v>
      </c>
      <c r="H47" s="123" t="s">
        <v>49</v>
      </c>
      <c r="I47" s="123" t="s">
        <v>50</v>
      </c>
      <c r="J47" s="123" t="s">
        <v>51</v>
      </c>
      <c r="K47" s="123" t="s">
        <v>55</v>
      </c>
      <c r="L47" s="124" t="s">
        <v>53</v>
      </c>
      <c r="M47" s="11">
        <v>37.530610000000003</v>
      </c>
      <c r="N47" s="12">
        <v>3.7675690000000001E-3</v>
      </c>
      <c r="O47" s="12">
        <v>302.44130000000001</v>
      </c>
      <c r="P47" s="12">
        <v>8.8514940000000006</v>
      </c>
      <c r="Q47" s="12">
        <v>0.12485673</v>
      </c>
      <c r="R47" s="12">
        <v>2.5887610000000002E-3</v>
      </c>
      <c r="S47" s="13">
        <v>0.44889479999999998</v>
      </c>
      <c r="T47" s="64">
        <v>1.0338579999999999</v>
      </c>
      <c r="U47" s="12">
        <v>8.0804333308599929E-2</v>
      </c>
      <c r="V47" s="12">
        <v>0.10438387423935092</v>
      </c>
      <c r="W47" s="14">
        <v>0.10508474576271187</v>
      </c>
      <c r="X47" s="11">
        <f t="shared" si="14"/>
        <v>38.80132139338</v>
      </c>
      <c r="Y47" s="15">
        <f t="shared" si="15"/>
        <v>3.0443590123914856E-4</v>
      </c>
      <c r="Z47" s="12">
        <f t="shared" si="16"/>
        <v>287.41534890172403</v>
      </c>
      <c r="AA47" s="12">
        <f t="shared" si="17"/>
        <v>8.1959514386433217</v>
      </c>
      <c r="AB47" s="12">
        <f t="shared" si="18"/>
        <v>0.1156098276593534</v>
      </c>
      <c r="AC47" s="12">
        <f t="shared" si="19"/>
        <v>2.676411269938E-3</v>
      </c>
      <c r="AD47" s="61">
        <f t="shared" si="20"/>
        <v>0.41532433476792402</v>
      </c>
      <c r="AE47" s="11">
        <f t="shared" si="21"/>
        <v>0.10630499011884932</v>
      </c>
      <c r="AF47" s="12">
        <f t="shared" si="22"/>
        <v>8.3407096229903715E-7</v>
      </c>
      <c r="AG47" s="12">
        <f t="shared" si="23"/>
        <v>0.78743931205951789</v>
      </c>
      <c r="AH47" s="12">
        <f t="shared" si="24"/>
        <v>2.2454661475735129E-2</v>
      </c>
      <c r="AI47" s="12">
        <f t="shared" si="25"/>
        <v>3.1673925386124221E-4</v>
      </c>
      <c r="AJ47" s="12">
        <f t="shared" si="26"/>
        <v>7.3326336162684932E-6</v>
      </c>
      <c r="AK47" s="14">
        <f t="shared" si="27"/>
        <v>1.1378748897751343E-3</v>
      </c>
      <c r="AL47" s="15" t="s">
        <v>10</v>
      </c>
      <c r="AM47" s="12" t="s">
        <v>11</v>
      </c>
      <c r="AN47" s="14"/>
    </row>
    <row r="48" spans="1:40" ht="30" x14ac:dyDescent="0.25">
      <c r="A48" s="11" t="s">
        <v>6</v>
      </c>
      <c r="B48" s="12">
        <v>34</v>
      </c>
      <c r="C48" s="12"/>
      <c r="D48" s="12">
        <v>34029</v>
      </c>
      <c r="E48" s="12" t="s">
        <v>28</v>
      </c>
      <c r="F48" s="12" t="s">
        <v>8</v>
      </c>
      <c r="G48" s="12">
        <v>2285002007</v>
      </c>
      <c r="H48" s="123" t="s">
        <v>49</v>
      </c>
      <c r="I48" s="123" t="s">
        <v>50</v>
      </c>
      <c r="J48" s="123" t="s">
        <v>51</v>
      </c>
      <c r="K48" s="123" t="s">
        <v>54</v>
      </c>
      <c r="L48" s="124" t="s">
        <v>53</v>
      </c>
      <c r="M48" s="11">
        <v>1.039021E-2</v>
      </c>
      <c r="N48" s="12">
        <v>9.0392819999999992E-3</v>
      </c>
      <c r="O48" s="12">
        <v>7.73567E-2</v>
      </c>
      <c r="P48" s="12">
        <v>0.68138620000000005</v>
      </c>
      <c r="Q48" s="12">
        <v>0.66094459999999999</v>
      </c>
      <c r="R48" s="12">
        <v>3.664036E-5</v>
      </c>
      <c r="S48" s="13">
        <v>3.5911929999999999E-3</v>
      </c>
      <c r="T48" s="64">
        <v>1.0195107175208789</v>
      </c>
      <c r="U48" s="12">
        <v>8.0804333308599929E-2</v>
      </c>
      <c r="V48" s="12">
        <v>0.10438387423935092</v>
      </c>
      <c r="W48" s="14">
        <v>0.10508474576271187</v>
      </c>
      <c r="X48" s="11">
        <f t="shared" si="14"/>
        <v>1.0592930452292612E-2</v>
      </c>
      <c r="Y48" s="15">
        <f t="shared" si="15"/>
        <v>7.3041315559842777E-4</v>
      </c>
      <c r="Z48" s="12">
        <f t="shared" si="16"/>
        <v>7.2493271405856097E-2</v>
      </c>
      <c r="AA48" s="12">
        <f t="shared" si="17"/>
        <v>0.62216708820760458</v>
      </c>
      <c r="AB48" s="12">
        <f t="shared" si="18"/>
        <v>0.60350206277811302</v>
      </c>
      <c r="AC48" s="12">
        <f t="shared" si="19"/>
        <v>3.7355239713823306E-5</v>
      </c>
      <c r="AD48" s="61">
        <f t="shared" si="20"/>
        <v>3.2765172019562465E-3</v>
      </c>
      <c r="AE48" s="11">
        <f t="shared" si="21"/>
        <v>2.90217272665551E-5</v>
      </c>
      <c r="AF48" s="12">
        <f t="shared" si="22"/>
        <v>2.0011319331463773E-6</v>
      </c>
      <c r="AG48" s="12">
        <f t="shared" si="23"/>
        <v>1.9861170248179752E-4</v>
      </c>
      <c r="AH48" s="12">
        <f t="shared" si="24"/>
        <v>1.7045673649523413E-3</v>
      </c>
      <c r="AI48" s="12">
        <f t="shared" si="25"/>
        <v>1.6534303089811315E-3</v>
      </c>
      <c r="AJ48" s="12">
        <f t="shared" si="26"/>
        <v>1.023431225036255E-7</v>
      </c>
      <c r="AK48" s="14">
        <f t="shared" si="27"/>
        <v>8.9767594574143744E-6</v>
      </c>
      <c r="AL48" s="15" t="s">
        <v>10</v>
      </c>
      <c r="AM48" s="12" t="s">
        <v>11</v>
      </c>
      <c r="AN48" s="14"/>
    </row>
    <row r="49" spans="1:40" ht="30" x14ac:dyDescent="0.25">
      <c r="A49" s="11" t="s">
        <v>6</v>
      </c>
      <c r="B49" s="12">
        <v>34</v>
      </c>
      <c r="C49" s="12"/>
      <c r="D49" s="12">
        <v>34029</v>
      </c>
      <c r="E49" s="12" t="s">
        <v>28</v>
      </c>
      <c r="F49" s="12" t="s">
        <v>8</v>
      </c>
      <c r="G49" s="12">
        <v>2285002009</v>
      </c>
      <c r="H49" s="123" t="s">
        <v>49</v>
      </c>
      <c r="I49" s="123" t="s">
        <v>50</v>
      </c>
      <c r="J49" s="123" t="s">
        <v>51</v>
      </c>
      <c r="K49" s="123" t="s">
        <v>55</v>
      </c>
      <c r="L49" s="124" t="s">
        <v>53</v>
      </c>
      <c r="M49" s="11">
        <v>2.8890989999999999</v>
      </c>
      <c r="N49" s="12">
        <v>3.2508419999999997E-5</v>
      </c>
      <c r="O49" s="12">
        <v>23.281870000000001</v>
      </c>
      <c r="P49" s="12">
        <v>2.273069E-3</v>
      </c>
      <c r="Q49" s="12">
        <v>2.2048770000000001E-3</v>
      </c>
      <c r="R49" s="12">
        <v>1.018821E-2</v>
      </c>
      <c r="S49" s="13">
        <v>1.0770040000000001</v>
      </c>
      <c r="T49" s="64">
        <v>1.0338579999999999</v>
      </c>
      <c r="U49" s="12">
        <v>8.0804333308599929E-2</v>
      </c>
      <c r="V49" s="12">
        <v>0.10438387423935092</v>
      </c>
      <c r="W49" s="14">
        <v>0.10508474576271187</v>
      </c>
      <c r="X49" s="11">
        <f t="shared" si="14"/>
        <v>2.9869181139419996</v>
      </c>
      <c r="Y49" s="15">
        <f t="shared" si="15"/>
        <v>2.6268212050159557E-6</v>
      </c>
      <c r="Z49" s="12">
        <f t="shared" si="16"/>
        <v>22.125175328682232</v>
      </c>
      <c r="AA49" s="12">
        <f t="shared" si="17"/>
        <v>2.1047252747034041E-3</v>
      </c>
      <c r="AB49" s="12">
        <f t="shared" si="18"/>
        <v>2.0415835812780947E-3</v>
      </c>
      <c r="AC49" s="12">
        <f t="shared" si="19"/>
        <v>1.053316241418E-2</v>
      </c>
      <c r="AD49" s="61">
        <f t="shared" si="20"/>
        <v>0.99646057348490846</v>
      </c>
      <c r="AE49" s="11">
        <f t="shared" si="21"/>
        <v>8.183337298471231E-3</v>
      </c>
      <c r="AF49" s="12">
        <f t="shared" si="22"/>
        <v>7.1967704247012487E-9</v>
      </c>
      <c r="AG49" s="12">
        <f t="shared" si="23"/>
        <v>6.0616918708718444E-2</v>
      </c>
      <c r="AH49" s="12">
        <f t="shared" si="24"/>
        <v>5.7663706156257644E-6</v>
      </c>
      <c r="AI49" s="12">
        <f t="shared" si="25"/>
        <v>5.5933796747345057E-6</v>
      </c>
      <c r="AJ49" s="12">
        <f t="shared" si="26"/>
        <v>2.8857979216931507E-5</v>
      </c>
      <c r="AK49" s="14">
        <f t="shared" si="27"/>
        <v>2.7300289684518042E-3</v>
      </c>
      <c r="AL49" s="15" t="s">
        <v>10</v>
      </c>
      <c r="AM49" s="12" t="s">
        <v>11</v>
      </c>
      <c r="AN49" s="14"/>
    </row>
    <row r="50" spans="1:40" ht="30" x14ac:dyDescent="0.25">
      <c r="A50" s="11" t="s">
        <v>6</v>
      </c>
      <c r="B50" s="12">
        <v>34</v>
      </c>
      <c r="C50" s="12"/>
      <c r="D50" s="12">
        <v>34031</v>
      </c>
      <c r="E50" s="12" t="s">
        <v>29</v>
      </c>
      <c r="F50" s="12" t="s">
        <v>8</v>
      </c>
      <c r="G50" s="12">
        <v>2285002007</v>
      </c>
      <c r="H50" s="123" t="s">
        <v>49</v>
      </c>
      <c r="I50" s="123" t="s">
        <v>50</v>
      </c>
      <c r="J50" s="123" t="s">
        <v>51</v>
      </c>
      <c r="K50" s="123" t="s">
        <v>54</v>
      </c>
      <c r="L50" s="124" t="s">
        <v>53</v>
      </c>
      <c r="M50" s="11">
        <v>1.762637</v>
      </c>
      <c r="N50" s="12">
        <v>0.11584460000000001</v>
      </c>
      <c r="O50" s="12">
        <v>14.20425</v>
      </c>
      <c r="P50" s="12">
        <v>0.4157132</v>
      </c>
      <c r="Q50" s="12">
        <v>8.4704619999999995</v>
      </c>
      <c r="R50" s="12">
        <v>0.13056899999999999</v>
      </c>
      <c r="S50" s="13">
        <v>0.65707939999999998</v>
      </c>
      <c r="T50" s="64">
        <v>1.0195107175208789</v>
      </c>
      <c r="U50" s="12">
        <v>8.0804333308599929E-2</v>
      </c>
      <c r="V50" s="12">
        <v>0.10438387423935092</v>
      </c>
      <c r="W50" s="14">
        <v>0.10508474576271187</v>
      </c>
      <c r="X50" s="11">
        <f t="shared" si="14"/>
        <v>1.7970273125988494</v>
      </c>
      <c r="Y50" s="15">
        <f t="shared" si="15"/>
        <v>9.3607456704014359E-3</v>
      </c>
      <c r="Z50" s="12">
        <f t="shared" si="16"/>
        <v>13.311226440200159</v>
      </c>
      <c r="AA50" s="12">
        <f t="shared" si="17"/>
        <v>0.37958366514241926</v>
      </c>
      <c r="AB50" s="12">
        <f t="shared" si="18"/>
        <v>7.7342961719993184</v>
      </c>
      <c r="AC50" s="12">
        <f t="shared" si="19"/>
        <v>0.13311649487598362</v>
      </c>
      <c r="AD50" s="61">
        <f t="shared" si="20"/>
        <v>0.59950327290989081</v>
      </c>
      <c r="AE50" s="11">
        <f t="shared" si="21"/>
        <v>4.9233625002708201E-3</v>
      </c>
      <c r="AF50" s="12">
        <f t="shared" si="22"/>
        <v>2.564587854904503E-5</v>
      </c>
      <c r="AG50" s="12">
        <f t="shared" si="23"/>
        <v>3.6469113534794956E-2</v>
      </c>
      <c r="AH50" s="12">
        <f t="shared" si="24"/>
        <v>1.0399552469655322E-3</v>
      </c>
      <c r="AI50" s="12">
        <f t="shared" si="25"/>
        <v>2.1189852526025531E-2</v>
      </c>
      <c r="AJ50" s="12">
        <f t="shared" si="26"/>
        <v>3.6470272568762637E-4</v>
      </c>
      <c r="AK50" s="14">
        <f t="shared" si="27"/>
        <v>1.6424747203010706E-3</v>
      </c>
      <c r="AL50" s="15" t="s">
        <v>10</v>
      </c>
      <c r="AM50" s="12" t="s">
        <v>11</v>
      </c>
      <c r="AN50" s="14"/>
    </row>
    <row r="51" spans="1:40" ht="30" x14ac:dyDescent="0.25">
      <c r="A51" s="11" t="s">
        <v>6</v>
      </c>
      <c r="B51" s="12">
        <v>34</v>
      </c>
      <c r="C51" s="12"/>
      <c r="D51" s="12">
        <v>34031</v>
      </c>
      <c r="E51" s="12" t="s">
        <v>29</v>
      </c>
      <c r="F51" s="12" t="s">
        <v>8</v>
      </c>
      <c r="G51" s="12">
        <v>2285002009</v>
      </c>
      <c r="H51" s="123" t="s">
        <v>49</v>
      </c>
      <c r="I51" s="123" t="s">
        <v>50</v>
      </c>
      <c r="J51" s="123" t="s">
        <v>51</v>
      </c>
      <c r="K51" s="123" t="s">
        <v>55</v>
      </c>
      <c r="L51" s="124" t="s">
        <v>53</v>
      </c>
      <c r="M51" s="11">
        <v>37.025790000000001</v>
      </c>
      <c r="N51" s="12">
        <v>5.5148590000000004E-3</v>
      </c>
      <c r="O51" s="12">
        <v>298.37329999999997</v>
      </c>
      <c r="P51" s="12">
        <v>8.7324350000000006</v>
      </c>
      <c r="Q51" s="12">
        <v>0.40324179999999998</v>
      </c>
      <c r="R51" s="12">
        <v>6.2158200000000004E-3</v>
      </c>
      <c r="S51" s="13">
        <v>13.80255</v>
      </c>
      <c r="T51" s="64">
        <v>1.0338579999999999</v>
      </c>
      <c r="U51" s="12">
        <v>8.0804333308599929E-2</v>
      </c>
      <c r="V51" s="12">
        <v>0.10438387423935092</v>
      </c>
      <c r="W51" s="14">
        <v>0.10508474576271187</v>
      </c>
      <c r="X51" s="11">
        <f t="shared" si="14"/>
        <v>38.279409197820002</v>
      </c>
      <c r="Y51" s="15">
        <f t="shared" si="15"/>
        <v>4.4562450478593212E-4</v>
      </c>
      <c r="Z51" s="12">
        <f t="shared" si="16"/>
        <v>283.54945611746399</v>
      </c>
      <c r="AA51" s="12">
        <f t="shared" si="17"/>
        <v>8.0857099605003739</v>
      </c>
      <c r="AB51" s="12">
        <f t="shared" si="18"/>
        <v>0.37337767057528615</v>
      </c>
      <c r="AC51" s="12">
        <f t="shared" si="19"/>
        <v>6.4262752335599999E-3</v>
      </c>
      <c r="AD51" s="61">
        <f t="shared" si="20"/>
        <v>12.770330368832541</v>
      </c>
      <c r="AE51" s="11">
        <f t="shared" si="21"/>
        <v>0.10487509369265754</v>
      </c>
      <c r="AF51" s="12">
        <f t="shared" si="22"/>
        <v>1.2208890542080331E-6</v>
      </c>
      <c r="AG51" s="12">
        <f t="shared" si="23"/>
        <v>0.77684782497935345</v>
      </c>
      <c r="AH51" s="12">
        <f t="shared" si="24"/>
        <v>2.2152630028768147E-2</v>
      </c>
      <c r="AI51" s="12">
        <f t="shared" si="25"/>
        <v>1.0229525221240716E-3</v>
      </c>
      <c r="AJ51" s="12">
        <f t="shared" si="26"/>
        <v>1.7606233516602739E-5</v>
      </c>
      <c r="AK51" s="14">
        <f t="shared" si="27"/>
        <v>3.4987206489952169E-2</v>
      </c>
      <c r="AL51" s="15" t="s">
        <v>10</v>
      </c>
      <c r="AM51" s="12" t="s">
        <v>11</v>
      </c>
      <c r="AN51" s="14"/>
    </row>
    <row r="52" spans="1:40" ht="30" x14ac:dyDescent="0.25">
      <c r="A52" s="11" t="s">
        <v>6</v>
      </c>
      <c r="B52" s="12">
        <v>34</v>
      </c>
      <c r="C52" s="12"/>
      <c r="D52" s="12">
        <v>34033</v>
      </c>
      <c r="E52" s="12" t="s">
        <v>30</v>
      </c>
      <c r="F52" s="12" t="s">
        <v>8</v>
      </c>
      <c r="G52" s="12">
        <v>2285002007</v>
      </c>
      <c r="H52" s="123" t="s">
        <v>49</v>
      </c>
      <c r="I52" s="123" t="s">
        <v>50</v>
      </c>
      <c r="J52" s="123" t="s">
        <v>51</v>
      </c>
      <c r="K52" s="123" t="s">
        <v>54</v>
      </c>
      <c r="L52" s="124" t="s">
        <v>53</v>
      </c>
      <c r="M52" s="11">
        <v>5.3755620000000004</v>
      </c>
      <c r="N52" s="12">
        <v>1.6818820000000002E-2</v>
      </c>
      <c r="O52" s="12">
        <v>43.027560000000001</v>
      </c>
      <c r="P52" s="12">
        <v>1.259695</v>
      </c>
      <c r="Q52" s="12">
        <v>1.2219040000000001</v>
      </c>
      <c r="R52" s="12">
        <v>1.8956549999999999E-2</v>
      </c>
      <c r="S52" s="13">
        <v>1.9910080000000001</v>
      </c>
      <c r="T52" s="64">
        <v>1.0195107175208789</v>
      </c>
      <c r="U52" s="12">
        <v>8.0804333308599929E-2</v>
      </c>
      <c r="V52" s="12">
        <v>0.10438387423935092</v>
      </c>
      <c r="W52" s="14">
        <v>0.10508474576271187</v>
      </c>
      <c r="X52" s="11">
        <f t="shared" si="14"/>
        <v>5.4804430716979713</v>
      </c>
      <c r="Y52" s="15">
        <f t="shared" si="15"/>
        <v>1.3590335371373467E-3</v>
      </c>
      <c r="Z52" s="12">
        <f t="shared" si="16"/>
        <v>40.32241014691369</v>
      </c>
      <c r="AA52" s="12">
        <f t="shared" si="17"/>
        <v>1.1502152086139672</v>
      </c>
      <c r="AB52" s="12">
        <f t="shared" si="18"/>
        <v>1.1157086153920124</v>
      </c>
      <c r="AC52" s="12">
        <f t="shared" si="19"/>
        <v>1.9326405892220413E-2</v>
      </c>
      <c r="AD52" s="61">
        <f t="shared" si="20"/>
        <v>1.8165473037045081</v>
      </c>
      <c r="AE52" s="11">
        <f t="shared" si="21"/>
        <v>1.5014912525199922E-2</v>
      </c>
      <c r="AF52" s="12">
        <f t="shared" si="22"/>
        <v>3.7233795538009497E-6</v>
      </c>
      <c r="AG52" s="12">
        <f t="shared" si="23"/>
        <v>0.11047235656688682</v>
      </c>
      <c r="AH52" s="12">
        <f t="shared" si="24"/>
        <v>3.1512745441478552E-3</v>
      </c>
      <c r="AI52" s="12">
        <f t="shared" si="25"/>
        <v>3.0567359325808559E-3</v>
      </c>
      <c r="AJ52" s="12">
        <f t="shared" si="26"/>
        <v>5.2949057238960036E-5</v>
      </c>
      <c r="AK52" s="14">
        <f t="shared" si="27"/>
        <v>4.9768419279575564E-3</v>
      </c>
      <c r="AL52" s="15" t="s">
        <v>10</v>
      </c>
      <c r="AM52" s="12" t="s">
        <v>11</v>
      </c>
      <c r="AN52" s="14"/>
    </row>
    <row r="53" spans="1:40" x14ac:dyDescent="0.25">
      <c r="A53" s="11" t="s">
        <v>6</v>
      </c>
      <c r="B53" s="12">
        <v>34</v>
      </c>
      <c r="C53" s="12"/>
      <c r="D53" s="12">
        <v>34035</v>
      </c>
      <c r="E53" s="12" t="s">
        <v>31</v>
      </c>
      <c r="F53" s="12" t="s">
        <v>36</v>
      </c>
      <c r="G53" s="12">
        <v>28500201</v>
      </c>
      <c r="H53" s="123" t="s">
        <v>49</v>
      </c>
      <c r="I53" s="123" t="s">
        <v>50</v>
      </c>
      <c r="J53" s="123" t="s">
        <v>51</v>
      </c>
      <c r="K53" s="123" t="s">
        <v>52</v>
      </c>
      <c r="L53" s="124" t="s">
        <v>53</v>
      </c>
      <c r="M53" s="11">
        <v>7.6001991599999998</v>
      </c>
      <c r="N53" s="12">
        <v>2.2762431100000001E-2</v>
      </c>
      <c r="O53" s="12">
        <v>134.40450000000001</v>
      </c>
      <c r="P53" s="12">
        <v>3.9337559999999998</v>
      </c>
      <c r="Q53" s="12">
        <v>4.4159820000000002E-2</v>
      </c>
      <c r="R53" s="12">
        <v>9.9939219999999995E-2</v>
      </c>
      <c r="S53" s="13">
        <v>6.1971720000000001</v>
      </c>
      <c r="T53" s="64">
        <v>1.0195107175208789</v>
      </c>
      <c r="U53" s="12">
        <v>8.0804333308599929E-2</v>
      </c>
      <c r="V53" s="12">
        <v>0.10438387423935092</v>
      </c>
      <c r="W53" s="14">
        <v>0.10508474576271187</v>
      </c>
      <c r="X53" s="11">
        <f t="shared" si="14"/>
        <v>7.7484844989131805</v>
      </c>
      <c r="Y53" s="15">
        <f t="shared" si="15"/>
        <v>1.8393030695184409E-3</v>
      </c>
      <c r="Z53" s="12">
        <f t="shared" si="16"/>
        <v>125.95446673227254</v>
      </c>
      <c r="AA53" s="12">
        <f t="shared" si="17"/>
        <v>3.5918742061978852</v>
      </c>
      <c r="AB53" s="12">
        <f t="shared" si="18"/>
        <v>4.0321900597886984E-2</v>
      </c>
      <c r="AC53" s="12">
        <f t="shared" si="19"/>
        <v>0.10188910589067696</v>
      </c>
      <c r="AD53" s="61">
        <f t="shared" si="20"/>
        <v>5.6541490979408788</v>
      </c>
      <c r="AE53" s="11">
        <f t="shared" si="21"/>
        <v>2.122872465455666E-2</v>
      </c>
      <c r="AF53" s="12">
        <f t="shared" si="22"/>
        <v>5.0391864918313452E-6</v>
      </c>
      <c r="AG53" s="12">
        <f t="shared" si="23"/>
        <v>0.34508073077334939</v>
      </c>
      <c r="AH53" s="12">
        <f t="shared" si="24"/>
        <v>9.84075124985722E-3</v>
      </c>
      <c r="AI53" s="12">
        <f t="shared" si="25"/>
        <v>1.1047096054215611E-4</v>
      </c>
      <c r="AJ53" s="12">
        <f t="shared" si="26"/>
        <v>2.7914823531692318E-4</v>
      </c>
      <c r="AK53" s="14">
        <f t="shared" si="27"/>
        <v>1.5490819446413367E-2</v>
      </c>
      <c r="AL53" s="15" t="s">
        <v>10</v>
      </c>
      <c r="AM53" s="12" t="s">
        <v>11</v>
      </c>
      <c r="AN53" s="14"/>
    </row>
    <row r="54" spans="1:40" ht="30" x14ac:dyDescent="0.25">
      <c r="A54" s="11" t="s">
        <v>6</v>
      </c>
      <c r="B54" s="12">
        <v>34</v>
      </c>
      <c r="C54" s="12"/>
      <c r="D54" s="12">
        <v>34035</v>
      </c>
      <c r="E54" s="12" t="s">
        <v>31</v>
      </c>
      <c r="F54" s="12" t="s">
        <v>8</v>
      </c>
      <c r="G54" s="12">
        <v>2285002006</v>
      </c>
      <c r="H54" s="123" t="s">
        <v>49</v>
      </c>
      <c r="I54" s="123" t="s">
        <v>50</v>
      </c>
      <c r="J54" s="123" t="s">
        <v>51</v>
      </c>
      <c r="K54" s="123" t="s">
        <v>56</v>
      </c>
      <c r="L54" s="124" t="s">
        <v>53</v>
      </c>
      <c r="M54" s="11">
        <v>26.551950000000001</v>
      </c>
      <c r="N54" s="12">
        <v>8.3073999999999995E-2</v>
      </c>
      <c r="O54" s="12">
        <v>1.5493189999999999</v>
      </c>
      <c r="P54" s="12">
        <v>4.5525589999999998E-2</v>
      </c>
      <c r="Q54" s="12">
        <v>3.8156889999999999</v>
      </c>
      <c r="R54" s="12">
        <v>2.56535125E-2</v>
      </c>
      <c r="S54" s="13">
        <v>7.1925299999999998E-2</v>
      </c>
      <c r="T54" s="64">
        <v>1.0195107175208789</v>
      </c>
      <c r="U54" s="12">
        <v>8.0804333308599929E-2</v>
      </c>
      <c r="V54" s="12">
        <v>0.10438387423935092</v>
      </c>
      <c r="W54" s="14">
        <v>0.10508474576271187</v>
      </c>
      <c r="X54" s="11">
        <f t="shared" si="14"/>
        <v>27.069997596078501</v>
      </c>
      <c r="Y54" s="15">
        <f t="shared" si="15"/>
        <v>6.7127391852786298E-3</v>
      </c>
      <c r="Z54" s="12">
        <f t="shared" si="16"/>
        <v>1.4519130568037359</v>
      </c>
      <c r="AA54" s="12">
        <f t="shared" si="17"/>
        <v>4.1568971853602601E-2</v>
      </c>
      <c r="AB54" s="12">
        <f t="shared" si="18"/>
        <v>3.4840683809501662</v>
      </c>
      <c r="AC54" s="12">
        <f t="shared" si="19"/>
        <v>2.6154030935805834E-2</v>
      </c>
      <c r="AD54" s="61">
        <f t="shared" si="20"/>
        <v>6.5622895429419584E-2</v>
      </c>
      <c r="AE54" s="11">
        <f t="shared" si="21"/>
        <v>7.4164376975557542E-2</v>
      </c>
      <c r="AF54" s="12">
        <f t="shared" si="22"/>
        <v>1.8391066261037341E-5</v>
      </c>
      <c r="AG54" s="12">
        <f t="shared" si="23"/>
        <v>3.9778439912431119E-3</v>
      </c>
      <c r="AH54" s="12">
        <f t="shared" si="24"/>
        <v>1.1388759411945918E-4</v>
      </c>
      <c r="AI54" s="12">
        <f t="shared" si="25"/>
        <v>9.5453928245210033E-3</v>
      </c>
      <c r="AJ54" s="12">
        <f t="shared" si="26"/>
        <v>7.1654879276180364E-5</v>
      </c>
      <c r="AK54" s="14">
        <f t="shared" si="27"/>
        <v>1.7978875460114953E-4</v>
      </c>
      <c r="AL54" s="15" t="s">
        <v>10</v>
      </c>
      <c r="AM54" s="12" t="s">
        <v>11</v>
      </c>
      <c r="AN54" s="14"/>
    </row>
    <row r="55" spans="1:40" ht="30" x14ac:dyDescent="0.25">
      <c r="A55" s="11" t="s">
        <v>6</v>
      </c>
      <c r="B55" s="12">
        <v>34</v>
      </c>
      <c r="C55" s="12"/>
      <c r="D55" s="12">
        <v>34035</v>
      </c>
      <c r="E55" s="12" t="s">
        <v>31</v>
      </c>
      <c r="F55" s="12" t="s">
        <v>8</v>
      </c>
      <c r="G55" s="12">
        <v>2285002007</v>
      </c>
      <c r="H55" s="123" t="s">
        <v>49</v>
      </c>
      <c r="I55" s="123" t="s">
        <v>50</v>
      </c>
      <c r="J55" s="123" t="s">
        <v>51</v>
      </c>
      <c r="K55" s="123" t="s">
        <v>54</v>
      </c>
      <c r="L55" s="124" t="s">
        <v>53</v>
      </c>
      <c r="M55" s="11">
        <v>0.2080977</v>
      </c>
      <c r="N55" s="12">
        <v>8.8669040000000005E-2</v>
      </c>
      <c r="O55" s="12">
        <v>228.37889999999999</v>
      </c>
      <c r="P55" s="12">
        <v>1.275542739</v>
      </c>
      <c r="Q55" s="12">
        <v>1.2372764430000001</v>
      </c>
      <c r="R55" s="12">
        <v>9.3632999999999994E-2</v>
      </c>
      <c r="S55" s="13">
        <v>3.1876509</v>
      </c>
      <c r="T55" s="64">
        <v>1.0195107175208789</v>
      </c>
      <c r="U55" s="12">
        <v>8.0804333308599929E-2</v>
      </c>
      <c r="V55" s="12">
        <v>0.10438387423935092</v>
      </c>
      <c r="W55" s="14">
        <v>0.10508474576271187</v>
      </c>
      <c r="X55" s="11">
        <f t="shared" si="14"/>
        <v>0.21215783544144459</v>
      </c>
      <c r="Y55" s="15">
        <f t="shared" si="15"/>
        <v>7.1648426623135801E-3</v>
      </c>
      <c r="Z55" s="12">
        <f t="shared" si="16"/>
        <v>214.02068057544943</v>
      </c>
      <c r="AA55" s="12">
        <f t="shared" si="17"/>
        <v>1.1646856244050472</v>
      </c>
      <c r="AB55" s="12">
        <f t="shared" si="18"/>
        <v>1.1297450430448579</v>
      </c>
      <c r="AC55" s="12">
        <f t="shared" si="19"/>
        <v>9.5459847013632443E-2</v>
      </c>
      <c r="AD55" s="61">
        <f t="shared" si="20"/>
        <v>2.9083351988270505</v>
      </c>
      <c r="AE55" s="11">
        <f t="shared" si="21"/>
        <v>5.8125434367519064E-4</v>
      </c>
      <c r="AF55" s="12">
        <f t="shared" si="22"/>
        <v>1.9629705924146796E-5</v>
      </c>
      <c r="AG55" s="12">
        <f t="shared" si="23"/>
        <v>0.58635802897383404</v>
      </c>
      <c r="AH55" s="12">
        <f t="shared" si="24"/>
        <v>3.1909195189179377E-3</v>
      </c>
      <c r="AI55" s="12">
        <f t="shared" si="25"/>
        <v>3.0951918987530353E-3</v>
      </c>
      <c r="AJ55" s="12">
        <f t="shared" si="26"/>
        <v>2.6153382743460943E-4</v>
      </c>
      <c r="AK55" s="14">
        <f t="shared" si="27"/>
        <v>7.9680416406220558E-3</v>
      </c>
      <c r="AL55" s="15" t="s">
        <v>10</v>
      </c>
      <c r="AM55" s="12" t="s">
        <v>11</v>
      </c>
      <c r="AN55" s="14"/>
    </row>
    <row r="56" spans="1:40" ht="30" x14ac:dyDescent="0.25">
      <c r="A56" s="11" t="s">
        <v>6</v>
      </c>
      <c r="B56" s="12">
        <v>34</v>
      </c>
      <c r="C56" s="12"/>
      <c r="D56" s="12">
        <v>34035</v>
      </c>
      <c r="E56" s="12" t="s">
        <v>31</v>
      </c>
      <c r="F56" s="12" t="s">
        <v>8</v>
      </c>
      <c r="G56" s="12">
        <v>2285002009</v>
      </c>
      <c r="H56" s="123" t="s">
        <v>49</v>
      </c>
      <c r="I56" s="123" t="s">
        <v>50</v>
      </c>
      <c r="J56" s="123" t="s">
        <v>51</v>
      </c>
      <c r="K56" s="123" t="s">
        <v>55</v>
      </c>
      <c r="L56" s="124" t="s">
        <v>53</v>
      </c>
      <c r="M56" s="11">
        <v>28.340039999999998</v>
      </c>
      <c r="N56" s="12">
        <v>6.5108660000000004E-4</v>
      </c>
      <c r="O56" s="12">
        <v>48.6726715</v>
      </c>
      <c r="P56" s="12">
        <v>6.6839230000000001</v>
      </c>
      <c r="Q56" s="12">
        <v>6.4834050000000003</v>
      </c>
      <c r="R56" s="12">
        <v>7.3384229999999995E-4</v>
      </c>
      <c r="S56" s="13">
        <v>10.56466</v>
      </c>
      <c r="T56" s="64">
        <v>1.0338579999999999</v>
      </c>
      <c r="U56" s="12">
        <v>8.0804333308599929E-2</v>
      </c>
      <c r="V56" s="12">
        <v>0.10438387423935092</v>
      </c>
      <c r="W56" s="14">
        <v>0.10508474576271187</v>
      </c>
      <c r="X56" s="11">
        <f t="shared" si="14"/>
        <v>29.299577074319998</v>
      </c>
      <c r="Y56" s="15">
        <f t="shared" si="15"/>
        <v>5.2610618639163083E-5</v>
      </c>
      <c r="Z56" s="12">
        <f t="shared" si="16"/>
        <v>46.254505787243673</v>
      </c>
      <c r="AA56" s="12">
        <f t="shared" si="17"/>
        <v>6.1889109711457957</v>
      </c>
      <c r="AB56" s="12">
        <f t="shared" si="18"/>
        <v>6.0032433549700537</v>
      </c>
      <c r="AC56" s="12">
        <f t="shared" si="19"/>
        <v>7.5868873259339988E-4</v>
      </c>
      <c r="AD56" s="61">
        <f t="shared" si="20"/>
        <v>9.7745850175793887</v>
      </c>
      <c r="AE56" s="11">
        <f t="shared" si="21"/>
        <v>8.0272813902246568E-2</v>
      </c>
      <c r="AF56" s="12">
        <f t="shared" si="22"/>
        <v>1.4413868120318653E-7</v>
      </c>
      <c r="AG56" s="12">
        <f t="shared" si="23"/>
        <v>0.12672467338970869</v>
      </c>
      <c r="AH56" s="12">
        <f t="shared" si="24"/>
        <v>1.6955920468892591E-2</v>
      </c>
      <c r="AI56" s="12">
        <f t="shared" si="25"/>
        <v>1.6447242068411107E-2</v>
      </c>
      <c r="AJ56" s="12">
        <f t="shared" si="26"/>
        <v>2.0785992673791776E-6</v>
      </c>
      <c r="AK56" s="14">
        <f t="shared" si="27"/>
        <v>2.6779684979669559E-2</v>
      </c>
      <c r="AL56" s="15" t="s">
        <v>10</v>
      </c>
      <c r="AM56" s="12" t="s">
        <v>11</v>
      </c>
      <c r="AN56" s="14"/>
    </row>
    <row r="57" spans="1:40" ht="30" x14ac:dyDescent="0.25">
      <c r="A57" s="11" t="s">
        <v>6</v>
      </c>
      <c r="B57" s="12">
        <v>34</v>
      </c>
      <c r="C57" s="12"/>
      <c r="D57" s="12">
        <v>34037</v>
      </c>
      <c r="E57" s="12" t="s">
        <v>32</v>
      </c>
      <c r="F57" s="12" t="s">
        <v>8</v>
      </c>
      <c r="G57" s="12">
        <v>2285002007</v>
      </c>
      <c r="H57" s="123" t="s">
        <v>49</v>
      </c>
      <c r="I57" s="123" t="s">
        <v>50</v>
      </c>
      <c r="J57" s="123" t="s">
        <v>51</v>
      </c>
      <c r="K57" s="123" t="s">
        <v>54</v>
      </c>
      <c r="L57" s="124" t="s">
        <v>53</v>
      </c>
      <c r="M57" s="11">
        <v>3.2311200000000002</v>
      </c>
      <c r="N57" s="12">
        <v>1.0109379999999999E-2</v>
      </c>
      <c r="O57" s="12">
        <v>26.038060000000002</v>
      </c>
      <c r="P57" s="12">
        <v>0.76205089999999998</v>
      </c>
      <c r="Q57" s="12">
        <v>0.7391894</v>
      </c>
      <c r="R57" s="12">
        <v>1.1394319999999999E-2</v>
      </c>
      <c r="S57" s="13">
        <v>1.2045030000000001</v>
      </c>
      <c r="T57" s="64">
        <v>1.0195107175208789</v>
      </c>
      <c r="U57" s="12">
        <v>8.0804333308599929E-2</v>
      </c>
      <c r="V57" s="12">
        <v>0.10438387423935092</v>
      </c>
      <c r="W57" s="14">
        <v>0.10508474576271187</v>
      </c>
      <c r="X57" s="11">
        <f t="shared" si="14"/>
        <v>3.2941614695960624</v>
      </c>
      <c r="Y57" s="15">
        <f t="shared" si="15"/>
        <v>8.1688171106329395E-4</v>
      </c>
      <c r="Z57" s="12">
        <f t="shared" si="16"/>
        <v>24.401042837426697</v>
      </c>
      <c r="AA57" s="12">
        <f t="shared" si="17"/>
        <v>0.6958212384092668</v>
      </c>
      <c r="AB57" s="12">
        <f t="shared" si="18"/>
        <v>0.67494662591042531</v>
      </c>
      <c r="AC57" s="12">
        <f t="shared" si="19"/>
        <v>1.1616631358862499E-2</v>
      </c>
      <c r="AD57" s="61">
        <f t="shared" si="20"/>
        <v>1.0989592593068391</v>
      </c>
      <c r="AE57" s="11">
        <f t="shared" si="21"/>
        <v>9.025099916701541E-3</v>
      </c>
      <c r="AF57" s="12">
        <f t="shared" si="22"/>
        <v>2.238032085104915E-6</v>
      </c>
      <c r="AG57" s="12">
        <f t="shared" si="23"/>
        <v>6.6852172157333412E-2</v>
      </c>
      <c r="AH57" s="12">
        <f t="shared" si="24"/>
        <v>1.9063595572856625E-3</v>
      </c>
      <c r="AI57" s="12">
        <f t="shared" si="25"/>
        <v>1.8491688381107542E-3</v>
      </c>
      <c r="AJ57" s="12">
        <f t="shared" si="26"/>
        <v>3.1826387284554791E-5</v>
      </c>
      <c r="AK57" s="14">
        <f t="shared" si="27"/>
        <v>3.0108472857721621E-3</v>
      </c>
      <c r="AL57" s="15" t="s">
        <v>10</v>
      </c>
      <c r="AM57" s="12" t="s">
        <v>11</v>
      </c>
      <c r="AN57" s="14"/>
    </row>
    <row r="58" spans="1:40" x14ac:dyDescent="0.25">
      <c r="A58" s="11" t="s">
        <v>6</v>
      </c>
      <c r="B58" s="12">
        <v>34</v>
      </c>
      <c r="C58" s="12"/>
      <c r="D58" s="12">
        <v>34039</v>
      </c>
      <c r="E58" s="12" t="s">
        <v>33</v>
      </c>
      <c r="F58" s="12" t="s">
        <v>36</v>
      </c>
      <c r="G58" s="12">
        <v>28500201</v>
      </c>
      <c r="H58" s="123" t="s">
        <v>49</v>
      </c>
      <c r="I58" s="123" t="s">
        <v>50</v>
      </c>
      <c r="J58" s="123" t="s">
        <v>51</v>
      </c>
      <c r="K58" s="123" t="s">
        <v>52</v>
      </c>
      <c r="L58" s="124" t="s">
        <v>53</v>
      </c>
      <c r="M58" s="11">
        <v>13.520519999999999</v>
      </c>
      <c r="N58" s="12">
        <v>4.0493671000000002E-2</v>
      </c>
      <c r="O58" s="12">
        <v>92.919280000000001</v>
      </c>
      <c r="P58" s="12">
        <v>2.7195640000000001</v>
      </c>
      <c r="Q58" s="12">
        <v>9.7256540000000005</v>
      </c>
      <c r="R58" s="12">
        <v>0.1499173</v>
      </c>
      <c r="S58" s="13">
        <v>15.84788</v>
      </c>
      <c r="T58" s="64">
        <v>1.0195107175208789</v>
      </c>
      <c r="U58" s="12">
        <v>8.0804333308599929E-2</v>
      </c>
      <c r="V58" s="12">
        <v>0.10438387423935092</v>
      </c>
      <c r="W58" s="14">
        <v>0.10508474576271187</v>
      </c>
      <c r="X58" s="11">
        <f t="shared" si="14"/>
        <v>13.784315046455392</v>
      </c>
      <c r="Y58" s="15">
        <f t="shared" si="15"/>
        <v>3.2720640883727873E-3</v>
      </c>
      <c r="Z58" s="12">
        <f t="shared" si="16"/>
        <v>87.077429413053267</v>
      </c>
      <c r="AA58" s="12">
        <f t="shared" si="17"/>
        <v>2.4832073427290218</v>
      </c>
      <c r="AB58" s="12">
        <f t="shared" si="18"/>
        <v>8.8803997352670798</v>
      </c>
      <c r="AC58" s="12">
        <f t="shared" si="19"/>
        <v>0.15284229409179284</v>
      </c>
      <c r="AD58" s="61">
        <f t="shared" si="20"/>
        <v>14.459220497071131</v>
      </c>
      <c r="AE58" s="11">
        <f t="shared" si="21"/>
        <v>3.7765246702617515E-2</v>
      </c>
      <c r="AF58" s="12">
        <f t="shared" si="22"/>
        <v>8.9645591462268146E-6</v>
      </c>
      <c r="AG58" s="12">
        <f t="shared" si="23"/>
        <v>0.23856829976178978</v>
      </c>
      <c r="AH58" s="12">
        <f t="shared" si="24"/>
        <v>6.80330778829869E-3</v>
      </c>
      <c r="AI58" s="12">
        <f t="shared" si="25"/>
        <v>2.4329862288402958E-2</v>
      </c>
      <c r="AJ58" s="12">
        <f t="shared" si="26"/>
        <v>4.1874601121039134E-4</v>
      </c>
      <c r="AK58" s="14">
        <f t="shared" si="27"/>
        <v>3.9614302731701731E-2</v>
      </c>
      <c r="AL58" s="15" t="s">
        <v>10</v>
      </c>
      <c r="AM58" s="12" t="s">
        <v>11</v>
      </c>
      <c r="AN58" s="14"/>
    </row>
    <row r="59" spans="1:40" ht="30" x14ac:dyDescent="0.25">
      <c r="A59" s="11" t="s">
        <v>6</v>
      </c>
      <c r="B59" s="12">
        <v>34</v>
      </c>
      <c r="C59" s="12"/>
      <c r="D59" s="12">
        <v>34039</v>
      </c>
      <c r="E59" s="12" t="s">
        <v>33</v>
      </c>
      <c r="F59" s="12" t="s">
        <v>8</v>
      </c>
      <c r="G59" s="12">
        <v>2285002006</v>
      </c>
      <c r="H59" s="123" t="s">
        <v>49</v>
      </c>
      <c r="I59" s="123" t="s">
        <v>50</v>
      </c>
      <c r="J59" s="123" t="s">
        <v>51</v>
      </c>
      <c r="K59" s="123" t="s">
        <v>56</v>
      </c>
      <c r="L59" s="124" t="s">
        <v>53</v>
      </c>
      <c r="M59" s="11">
        <v>18.35643</v>
      </c>
      <c r="N59" s="12">
        <v>5.7432999999999998E-2</v>
      </c>
      <c r="O59" s="12">
        <v>86.587202000000005</v>
      </c>
      <c r="P59" s="12">
        <v>10.026450000000001</v>
      </c>
      <c r="Q59" s="12">
        <v>2.63794</v>
      </c>
      <c r="R59" s="12">
        <v>4.5636797999999999E-2</v>
      </c>
      <c r="S59" s="13">
        <v>5.6707324000000003</v>
      </c>
      <c r="T59" s="64">
        <v>1.0195107175208789</v>
      </c>
      <c r="U59" s="12">
        <v>8.0804333308599929E-2</v>
      </c>
      <c r="V59" s="12">
        <v>0.10438387423935092</v>
      </c>
      <c r="W59" s="14">
        <v>0.10508474576271187</v>
      </c>
      <c r="X59" s="11">
        <f t="shared" si="14"/>
        <v>18.714577120421787</v>
      </c>
      <c r="Y59" s="15">
        <f t="shared" si="15"/>
        <v>4.6408352749128193E-3</v>
      </c>
      <c r="Z59" s="12">
        <f t="shared" si="16"/>
        <v>81.143450209997155</v>
      </c>
      <c r="AA59" s="12">
        <f t="shared" si="17"/>
        <v>9.1550536267965761</v>
      </c>
      <c r="AB59" s="12">
        <f t="shared" si="18"/>
        <v>2.408677265061089</v>
      </c>
      <c r="AC59" s="12">
        <f t="shared" si="19"/>
        <v>4.652720467433541E-2</v>
      </c>
      <c r="AD59" s="61">
        <f t="shared" si="20"/>
        <v>5.173838403085167</v>
      </c>
      <c r="AE59" s="11">
        <f t="shared" si="21"/>
        <v>5.1272814028552841E-2</v>
      </c>
      <c r="AF59" s="12">
        <f t="shared" si="22"/>
        <v>1.2714617191541971E-5</v>
      </c>
      <c r="AG59" s="12">
        <f t="shared" si="23"/>
        <v>0.22231082249314288</v>
      </c>
      <c r="AH59" s="12">
        <f t="shared" si="24"/>
        <v>2.5082338703552264E-2</v>
      </c>
      <c r="AI59" s="12">
        <f t="shared" si="25"/>
        <v>6.5991157946879153E-3</v>
      </c>
      <c r="AJ59" s="12">
        <f t="shared" si="26"/>
        <v>1.2747179362831618E-4</v>
      </c>
      <c r="AK59" s="14">
        <f t="shared" si="27"/>
        <v>1.4174899734479909E-2</v>
      </c>
      <c r="AL59" s="15" t="s">
        <v>10</v>
      </c>
      <c r="AM59" s="12" t="s">
        <v>11</v>
      </c>
      <c r="AN59" s="14"/>
    </row>
    <row r="60" spans="1:40" ht="30" x14ac:dyDescent="0.25">
      <c r="A60" s="11" t="s">
        <v>6</v>
      </c>
      <c r="B60" s="12">
        <v>34</v>
      </c>
      <c r="C60" s="12"/>
      <c r="D60" s="12">
        <v>34039</v>
      </c>
      <c r="E60" s="12" t="s">
        <v>33</v>
      </c>
      <c r="F60" s="12" t="s">
        <v>8</v>
      </c>
      <c r="G60" s="12">
        <v>2285002007</v>
      </c>
      <c r="H60" s="123" t="s">
        <v>49</v>
      </c>
      <c r="I60" s="123" t="s">
        <v>50</v>
      </c>
      <c r="J60" s="123" t="s">
        <v>51</v>
      </c>
      <c r="K60" s="123" t="s">
        <v>54</v>
      </c>
      <c r="L60" s="124" t="s">
        <v>53</v>
      </c>
      <c r="M60" s="11">
        <v>4.7976049999999999</v>
      </c>
      <c r="N60" s="12">
        <v>1.5010529999999999E-2</v>
      </c>
      <c r="O60" s="12">
        <v>35.718910000000001</v>
      </c>
      <c r="P60" s="12">
        <v>1.049574</v>
      </c>
      <c r="Q60" s="12">
        <v>2.2010768000000001</v>
      </c>
      <c r="R60" s="12">
        <v>6.4732999999999999E-2</v>
      </c>
      <c r="S60" s="13">
        <v>4.2843549999999997</v>
      </c>
      <c r="T60" s="64">
        <v>1.0195107175208789</v>
      </c>
      <c r="U60" s="12">
        <v>8.0804333308599929E-2</v>
      </c>
      <c r="V60" s="12">
        <v>0.10438387423935092</v>
      </c>
      <c r="W60" s="14">
        <v>0.10508474576271187</v>
      </c>
      <c r="X60" s="11">
        <f t="shared" si="14"/>
        <v>4.8912097159317556</v>
      </c>
      <c r="Y60" s="15">
        <f t="shared" si="15"/>
        <v>1.2129158692587385E-3</v>
      </c>
      <c r="Z60" s="12">
        <f t="shared" si="16"/>
        <v>33.47325618791065</v>
      </c>
      <c r="AA60" s="12">
        <f t="shared" si="17"/>
        <v>0.95835577450557152</v>
      </c>
      <c r="AB60" s="12">
        <f t="shared" si="18"/>
        <v>2.0097817413638728</v>
      </c>
      <c r="AC60" s="12">
        <f t="shared" si="19"/>
        <v>6.5995987277279053E-2</v>
      </c>
      <c r="AD60" s="61">
        <f t="shared" si="20"/>
        <v>3.9089413620452187</v>
      </c>
      <c r="AE60" s="11">
        <f t="shared" si="21"/>
        <v>1.3400574564196591E-2</v>
      </c>
      <c r="AF60" s="12">
        <f t="shared" si="22"/>
        <v>3.3230571760513383E-6</v>
      </c>
      <c r="AG60" s="12">
        <f t="shared" si="23"/>
        <v>9.1707551199755211E-2</v>
      </c>
      <c r="AH60" s="12">
        <f t="shared" si="24"/>
        <v>2.6256322589193739E-3</v>
      </c>
      <c r="AI60" s="12">
        <f t="shared" si="25"/>
        <v>5.5062513462023907E-3</v>
      </c>
      <c r="AJ60" s="12">
        <f t="shared" si="26"/>
        <v>1.8081092404733986E-4</v>
      </c>
      <c r="AK60" s="14">
        <f t="shared" si="27"/>
        <v>1.0709428389164983E-2</v>
      </c>
      <c r="AL60" s="15" t="s">
        <v>10</v>
      </c>
      <c r="AM60" s="12" t="s">
        <v>11</v>
      </c>
      <c r="AN60" s="14"/>
    </row>
    <row r="61" spans="1:40" ht="30" x14ac:dyDescent="0.25">
      <c r="A61" s="11" t="s">
        <v>6</v>
      </c>
      <c r="B61" s="12">
        <v>34</v>
      </c>
      <c r="C61" s="12"/>
      <c r="D61" s="12">
        <v>34039</v>
      </c>
      <c r="E61" s="12" t="s">
        <v>33</v>
      </c>
      <c r="F61" s="12" t="s">
        <v>8</v>
      </c>
      <c r="G61" s="12">
        <v>2285002009</v>
      </c>
      <c r="H61" s="123" t="s">
        <v>49</v>
      </c>
      <c r="I61" s="123" t="s">
        <v>50</v>
      </c>
      <c r="J61" s="123" t="s">
        <v>51</v>
      </c>
      <c r="K61" s="123" t="s">
        <v>55</v>
      </c>
      <c r="L61" s="124" t="s">
        <v>53</v>
      </c>
      <c r="M61" s="11">
        <v>42.512450000000001</v>
      </c>
      <c r="N61" s="12">
        <v>0.13301099999999999</v>
      </c>
      <c r="O61" s="12">
        <v>342.58760000000001</v>
      </c>
      <c r="P61" s="12">
        <v>2.2691512</v>
      </c>
      <c r="Q61" s="12">
        <v>1.018086</v>
      </c>
      <c r="R61" s="12">
        <v>1.6918430000000002E-2</v>
      </c>
      <c r="S61" s="13">
        <v>1.6582079999999999</v>
      </c>
      <c r="T61" s="64">
        <v>1.0338579999999999</v>
      </c>
      <c r="U61" s="12">
        <v>8.0804333308599929E-2</v>
      </c>
      <c r="V61" s="12">
        <v>0.10438387423935092</v>
      </c>
      <c r="W61" s="14">
        <v>0.10508474576271187</v>
      </c>
      <c r="X61" s="11">
        <f t="shared" si="14"/>
        <v>43.951836532099996</v>
      </c>
      <c r="Y61" s="15">
        <f t="shared" si="15"/>
        <v>1.0747865177710184E-2</v>
      </c>
      <c r="Z61" s="12">
        <f t="shared" si="16"/>
        <v>325.56709213789344</v>
      </c>
      <c r="AA61" s="12">
        <f t="shared" si="17"/>
        <v>2.1010976273767139</v>
      </c>
      <c r="AB61" s="12">
        <f t="shared" si="18"/>
        <v>0.94268644551559588</v>
      </c>
      <c r="AC61" s="12">
        <f t="shared" si="19"/>
        <v>1.7491254202939999E-2</v>
      </c>
      <c r="AD61" s="61">
        <f t="shared" si="20"/>
        <v>1.5341994037508337</v>
      </c>
      <c r="AE61" s="11">
        <f t="shared" si="21"/>
        <v>0.1204159904989041</v>
      </c>
      <c r="AF61" s="12">
        <f t="shared" si="22"/>
        <v>2.9446205966329271E-5</v>
      </c>
      <c r="AG61" s="12">
        <f t="shared" si="23"/>
        <v>0.89196463599422859</v>
      </c>
      <c r="AH61" s="12">
        <f t="shared" si="24"/>
        <v>5.7564318558266138E-3</v>
      </c>
      <c r="AI61" s="12">
        <f t="shared" si="25"/>
        <v>2.5827025904536873E-3</v>
      </c>
      <c r="AJ61" s="12">
        <f t="shared" si="26"/>
        <v>4.7921244391616439E-5</v>
      </c>
      <c r="AK61" s="14">
        <f t="shared" si="27"/>
        <v>4.2032860376735167E-3</v>
      </c>
      <c r="AL61" s="15" t="s">
        <v>10</v>
      </c>
      <c r="AM61" s="12" t="s">
        <v>11</v>
      </c>
      <c r="AN61" s="14"/>
    </row>
    <row r="62" spans="1:40" ht="30" x14ac:dyDescent="0.25">
      <c r="A62" s="11" t="s">
        <v>6</v>
      </c>
      <c r="B62" s="12">
        <v>34</v>
      </c>
      <c r="C62" s="12"/>
      <c r="D62" s="12">
        <v>34041</v>
      </c>
      <c r="E62" s="12" t="s">
        <v>34</v>
      </c>
      <c r="F62" s="12" t="s">
        <v>8</v>
      </c>
      <c r="G62" s="12">
        <v>2285002006</v>
      </c>
      <c r="H62" s="123" t="s">
        <v>49</v>
      </c>
      <c r="I62" s="123" t="s">
        <v>50</v>
      </c>
      <c r="J62" s="123" t="s">
        <v>51</v>
      </c>
      <c r="K62" s="123" t="s">
        <v>56</v>
      </c>
      <c r="L62" s="124" t="s">
        <v>53</v>
      </c>
      <c r="M62" s="11">
        <v>7.7348499999999998</v>
      </c>
      <c r="N62" s="12">
        <v>5.9157560000000003E-3</v>
      </c>
      <c r="O62" s="12">
        <v>15.23682</v>
      </c>
      <c r="P62" s="12">
        <v>3.8456589999999999E-2</v>
      </c>
      <c r="Q62" s="12">
        <v>3.7302889999999998E-2</v>
      </c>
      <c r="R62" s="12">
        <v>2.7276000000000002E-2</v>
      </c>
      <c r="S62" s="13">
        <v>1.805299</v>
      </c>
      <c r="T62" s="64">
        <v>1.0195107175208789</v>
      </c>
      <c r="U62" s="12">
        <v>8.0804333308599929E-2</v>
      </c>
      <c r="V62" s="12">
        <v>0.10438387423935092</v>
      </c>
      <c r="W62" s="14">
        <v>0.10508474576271187</v>
      </c>
      <c r="X62" s="11">
        <f t="shared" si="14"/>
        <v>7.8857624734163698</v>
      </c>
      <c r="Y62" s="15">
        <f t="shared" si="15"/>
        <v>4.7801871959634993E-4</v>
      </c>
      <c r="Z62" s="12">
        <f t="shared" si="16"/>
        <v>14.278878592574094</v>
      </c>
      <c r="AA62" s="12">
        <f t="shared" si="17"/>
        <v>3.5114336954129216E-2</v>
      </c>
      <c r="AB62" s="12">
        <f t="shared" si="18"/>
        <v>3.4060904745397788E-2</v>
      </c>
      <c r="AC62" s="12">
        <f t="shared" si="19"/>
        <v>2.7808174331099493E-2</v>
      </c>
      <c r="AD62" s="61">
        <f t="shared" si="20"/>
        <v>1.6471109261391437</v>
      </c>
      <c r="AE62" s="11">
        <f t="shared" si="21"/>
        <v>2.1604828694291422E-2</v>
      </c>
      <c r="AF62" s="12">
        <f t="shared" si="22"/>
        <v>1.3096403276612327E-6</v>
      </c>
      <c r="AG62" s="12">
        <f t="shared" si="23"/>
        <v>3.9120215322120802E-2</v>
      </c>
      <c r="AH62" s="12">
        <f t="shared" si="24"/>
        <v>9.6203662888025247E-5</v>
      </c>
      <c r="AI62" s="12">
        <f t="shared" si="25"/>
        <v>9.3317547247665167E-5</v>
      </c>
      <c r="AJ62" s="12">
        <f t="shared" si="26"/>
        <v>7.618677898931368E-5</v>
      </c>
      <c r="AK62" s="14">
        <f t="shared" si="27"/>
        <v>4.5126326743538184E-3</v>
      </c>
      <c r="AL62" s="15" t="s">
        <v>10</v>
      </c>
      <c r="AM62" s="12" t="s">
        <v>11</v>
      </c>
      <c r="AN62" s="14"/>
    </row>
    <row r="63" spans="1:40" ht="30" x14ac:dyDescent="0.25">
      <c r="A63" s="11" t="s">
        <v>6</v>
      </c>
      <c r="B63" s="12">
        <v>34</v>
      </c>
      <c r="C63" s="12"/>
      <c r="D63" s="12">
        <v>34041</v>
      </c>
      <c r="E63" s="12" t="s">
        <v>34</v>
      </c>
      <c r="F63" s="12" t="s">
        <v>8</v>
      </c>
      <c r="G63" s="12">
        <v>2285002007</v>
      </c>
      <c r="H63" s="123" t="s">
        <v>49</v>
      </c>
      <c r="I63" s="123" t="s">
        <v>50</v>
      </c>
      <c r="J63" s="123" t="s">
        <v>51</v>
      </c>
      <c r="K63" s="123" t="s">
        <v>54</v>
      </c>
      <c r="L63" s="124" t="s">
        <v>53</v>
      </c>
      <c r="M63" s="11">
        <v>0.16305710000000001</v>
      </c>
      <c r="N63" s="12">
        <v>2.4199999999999999E-2</v>
      </c>
      <c r="O63" s="12">
        <v>39.153399999999998</v>
      </c>
      <c r="P63" s="12">
        <v>0.44593310000000003</v>
      </c>
      <c r="Q63" s="12">
        <v>0.43255510000000003</v>
      </c>
      <c r="R63" s="12">
        <v>6.6676720000000004E-3</v>
      </c>
      <c r="S63" s="13">
        <v>6.078476E-2</v>
      </c>
      <c r="T63" s="64">
        <v>1.0195107175208789</v>
      </c>
      <c r="U63" s="12">
        <v>8.0804333308599929E-2</v>
      </c>
      <c r="V63" s="12">
        <v>0.10438387423935092</v>
      </c>
      <c r="W63" s="14">
        <v>0.10508474576271187</v>
      </c>
      <c r="X63" s="11">
        <f t="shared" si="14"/>
        <v>0.16623846101787371</v>
      </c>
      <c r="Y63" s="15">
        <f t="shared" si="15"/>
        <v>1.9554648660681183E-3</v>
      </c>
      <c r="Z63" s="12">
        <f t="shared" si="16"/>
        <v>36.691819230422787</v>
      </c>
      <c r="AA63" s="12">
        <f t="shared" si="17"/>
        <v>0.40717716085590011</v>
      </c>
      <c r="AB63" s="12">
        <f t="shared" si="18"/>
        <v>0.39496183963859144</v>
      </c>
      <c r="AC63" s="12">
        <f t="shared" si="19"/>
        <v>6.7977630649138738E-3</v>
      </c>
      <c r="AD63" s="61">
        <f t="shared" si="20"/>
        <v>5.5458537526883678E-2</v>
      </c>
      <c r="AE63" s="11">
        <f t="shared" si="21"/>
        <v>4.5544783840513345E-4</v>
      </c>
      <c r="AF63" s="12">
        <f t="shared" si="22"/>
        <v>5.3574379892277216E-6</v>
      </c>
      <c r="AG63" s="12">
        <f t="shared" si="23"/>
        <v>0.10052553213814462</v>
      </c>
      <c r="AH63" s="12">
        <f t="shared" si="24"/>
        <v>1.1155538653586305E-3</v>
      </c>
      <c r="AI63" s="12">
        <f t="shared" si="25"/>
        <v>1.0820872318865519E-3</v>
      </c>
      <c r="AJ63" s="12">
        <f t="shared" si="26"/>
        <v>1.862400839702431E-5</v>
      </c>
      <c r="AK63" s="14">
        <f t="shared" si="27"/>
        <v>1.5194119870379089E-4</v>
      </c>
      <c r="AL63" s="15" t="s">
        <v>10</v>
      </c>
      <c r="AM63" s="12" t="s">
        <v>11</v>
      </c>
      <c r="AN63" s="14"/>
    </row>
    <row r="64" spans="1:40" ht="30.75" thickBot="1" x14ac:dyDescent="0.3">
      <c r="A64" s="16" t="s">
        <v>6</v>
      </c>
      <c r="B64" s="17">
        <v>34</v>
      </c>
      <c r="C64" s="17"/>
      <c r="D64" s="17">
        <v>34041</v>
      </c>
      <c r="E64" s="17" t="s">
        <v>34</v>
      </c>
      <c r="F64" s="17" t="s">
        <v>8</v>
      </c>
      <c r="G64" s="17">
        <v>2285002009</v>
      </c>
      <c r="H64" s="125" t="s">
        <v>49</v>
      </c>
      <c r="I64" s="125" t="s">
        <v>50</v>
      </c>
      <c r="J64" s="125" t="s">
        <v>51</v>
      </c>
      <c r="K64" s="125" t="s">
        <v>55</v>
      </c>
      <c r="L64" s="126" t="s">
        <v>53</v>
      </c>
      <c r="M64" s="16">
        <v>1.8907700000000001</v>
      </c>
      <c r="N64" s="17">
        <v>5.1016579999999998E-4</v>
      </c>
      <c r="O64" s="17">
        <v>1.3140000000000001</v>
      </c>
      <c r="P64" s="17">
        <v>1.1459429999999999</v>
      </c>
      <c r="Q64" s="17">
        <v>1.1115489999999999</v>
      </c>
      <c r="R64" s="17">
        <v>5.7500990000000001E-4</v>
      </c>
      <c r="S64" s="18">
        <v>0.7048451</v>
      </c>
      <c r="T64" s="64">
        <v>1.0338579999999999</v>
      </c>
      <c r="U64" s="12">
        <v>8.0804333308599929E-2</v>
      </c>
      <c r="V64" s="12">
        <v>0.10438387423935092</v>
      </c>
      <c r="W64" s="14">
        <v>0.10508474576271187</v>
      </c>
      <c r="X64" s="11">
        <f t="shared" si="14"/>
        <v>1.9547876906599999</v>
      </c>
      <c r="Y64" s="15">
        <f t="shared" si="15"/>
        <v>4.1223607345848528E-5</v>
      </c>
      <c r="Z64" s="12">
        <f t="shared" si="16"/>
        <v>1.248717580756548</v>
      </c>
      <c r="AA64" s="12">
        <f t="shared" si="17"/>
        <v>1.0610743428683613</v>
      </c>
      <c r="AB64" s="12">
        <f t="shared" si="18"/>
        <v>1.0292275660665355</v>
      </c>
      <c r="AC64" s="12">
        <f t="shared" si="19"/>
        <v>5.9447858519420002E-4</v>
      </c>
      <c r="AD64" s="61">
        <f t="shared" si="20"/>
        <v>0.65213346706607178</v>
      </c>
      <c r="AE64" s="11">
        <f t="shared" si="21"/>
        <v>5.3555827141369859E-3</v>
      </c>
      <c r="AF64" s="12">
        <f t="shared" si="22"/>
        <v>1.129413899886261E-7</v>
      </c>
      <c r="AG64" s="12">
        <f t="shared" si="23"/>
        <v>3.4211440568672549E-3</v>
      </c>
      <c r="AH64" s="12">
        <f t="shared" si="24"/>
        <v>2.907052994159894E-3</v>
      </c>
      <c r="AI64" s="12">
        <f t="shared" si="25"/>
        <v>2.8198015508672206E-3</v>
      </c>
      <c r="AJ64" s="12">
        <f t="shared" si="26"/>
        <v>1.6287084525868493E-6</v>
      </c>
      <c r="AK64" s="14">
        <f t="shared" si="27"/>
        <v>1.7866670330577308E-3</v>
      </c>
      <c r="AL64" s="20" t="s">
        <v>10</v>
      </c>
      <c r="AM64" s="17" t="s">
        <v>11</v>
      </c>
      <c r="AN64" s="19"/>
    </row>
    <row r="65" spans="13:37" x14ac:dyDescent="0.25">
      <c r="M65">
        <v>2.0284802576986305</v>
      </c>
      <c r="N65">
        <v>6.3111660512328756E-3</v>
      </c>
      <c r="O65">
        <v>14.577312078082191</v>
      </c>
      <c r="P65">
        <v>0.42147962953150686</v>
      </c>
      <c r="Q65">
        <v>0.40883432020000005</v>
      </c>
      <c r="R65">
        <v>7.1132662849315081E-3</v>
      </c>
      <c r="S65">
        <v>0.70669750098630113</v>
      </c>
      <c r="X65" s="68"/>
      <c r="Y65" s="68"/>
      <c r="Z65" s="68"/>
      <c r="AA65" s="68"/>
      <c r="AB65" s="68"/>
      <c r="AC65" s="68"/>
      <c r="AD65" s="68"/>
      <c r="AE65" s="68">
        <f>SUM(AE8:AE64)</f>
        <v>2.3450964372894845</v>
      </c>
      <c r="AF65" s="68">
        <f t="shared" ref="AF65:AK65" si="28">SUM(AF8:AF64)</f>
        <v>5.7340889180049702E-4</v>
      </c>
      <c r="AG65" s="68">
        <f t="shared" si="28"/>
        <v>15.462617258412358</v>
      </c>
      <c r="AH65" s="68">
        <f t="shared" si="28"/>
        <v>0.43626039459835664</v>
      </c>
      <c r="AI65" s="68">
        <f t="shared" si="28"/>
        <v>0.42184419855381694</v>
      </c>
      <c r="AJ65" s="68">
        <f t="shared" si="28"/>
        <v>8.1886471883540167E-3</v>
      </c>
      <c r="AK65" s="68">
        <f t="shared" si="28"/>
        <v>0.7306194920663166</v>
      </c>
    </row>
    <row r="66" spans="13:37" x14ac:dyDescent="0.25">
      <c r="AE66">
        <v>2.3450964372894845</v>
      </c>
      <c r="AF66">
        <v>5.7340889180049702E-4</v>
      </c>
      <c r="AG66">
        <v>15.462617258412358</v>
      </c>
      <c r="AH66">
        <v>0.43626039459835664</v>
      </c>
      <c r="AI66">
        <v>0.42184419855381694</v>
      </c>
      <c r="AJ66">
        <v>8.1886471883540167E-3</v>
      </c>
      <c r="AK66">
        <v>0.7306194920663166</v>
      </c>
    </row>
  </sheetData>
  <sortState xmlns:xlrd2="http://schemas.microsoft.com/office/spreadsheetml/2017/richdata2" ref="A8:AN64">
    <sortCondition ref="D8:D64"/>
  </sortState>
  <mergeCells count="5">
    <mergeCell ref="X6:AD6"/>
    <mergeCell ref="T6:W6"/>
    <mergeCell ref="M6:S6"/>
    <mergeCell ref="AE6:AK6"/>
    <mergeCell ref="K4:T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B3FA-E1A0-4893-A924-1EE548A688DB}">
  <dimension ref="A1:V37"/>
  <sheetViews>
    <sheetView zoomScale="87" zoomScaleNormal="87" workbookViewId="0">
      <selection activeCell="C22" sqref="C22"/>
    </sheetView>
  </sheetViews>
  <sheetFormatPr defaultRowHeight="15" x14ac:dyDescent="0.25"/>
  <cols>
    <col min="1" max="1" width="9.140625" style="54"/>
    <col min="2" max="2" width="15.5703125" style="54" customWidth="1"/>
    <col min="3" max="4" width="15" style="54" customWidth="1"/>
    <col min="21" max="22" width="12" bestFit="1" customWidth="1"/>
  </cols>
  <sheetData>
    <row r="1" spans="1:21" x14ac:dyDescent="0.25">
      <c r="A1" s="118" t="s">
        <v>171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21" s="54" customFormat="1" x14ac:dyDescent="0.25">
      <c r="A2" s="52" t="s">
        <v>116</v>
      </c>
      <c r="B2" s="52" t="s">
        <v>117</v>
      </c>
      <c r="C2" s="52" t="s">
        <v>118</v>
      </c>
      <c r="D2" s="53" t="s">
        <v>119</v>
      </c>
    </row>
    <row r="3" spans="1:21" x14ac:dyDescent="0.25">
      <c r="A3" s="54">
        <v>2006</v>
      </c>
      <c r="B3" s="54">
        <v>180</v>
      </c>
    </row>
    <row r="4" spans="1:21" x14ac:dyDescent="0.25">
      <c r="A4" s="54">
        <v>2007</v>
      </c>
      <c r="B4" s="54">
        <v>175</v>
      </c>
      <c r="C4" s="54">
        <v>181.5</v>
      </c>
    </row>
    <row r="5" spans="1:21" x14ac:dyDescent="0.25">
      <c r="A5" s="54">
        <v>2008</v>
      </c>
      <c r="B5" s="54">
        <v>169</v>
      </c>
    </row>
    <row r="6" spans="1:21" x14ac:dyDescent="0.25">
      <c r="A6" s="54">
        <v>2009</v>
      </c>
      <c r="B6" s="54">
        <v>165</v>
      </c>
    </row>
    <row r="7" spans="1:21" x14ac:dyDescent="0.25">
      <c r="A7" s="54">
        <v>2010</v>
      </c>
      <c r="B7" s="54">
        <v>157</v>
      </c>
    </row>
    <row r="8" spans="1:21" x14ac:dyDescent="0.25">
      <c r="A8" s="54">
        <v>2011</v>
      </c>
      <c r="B8" s="54">
        <v>149</v>
      </c>
    </row>
    <row r="9" spans="1:21" x14ac:dyDescent="0.25">
      <c r="A9" s="54">
        <v>2012</v>
      </c>
      <c r="B9" s="54">
        <v>144</v>
      </c>
    </row>
    <row r="10" spans="1:21" x14ac:dyDescent="0.25">
      <c r="A10" s="54">
        <v>2013</v>
      </c>
      <c r="B10" s="54">
        <v>139</v>
      </c>
    </row>
    <row r="11" spans="1:21" x14ac:dyDescent="0.25">
      <c r="A11" s="54">
        <v>2014</v>
      </c>
      <c r="B11" s="54">
        <v>135</v>
      </c>
      <c r="C11" s="54">
        <v>150.21</v>
      </c>
    </row>
    <row r="12" spans="1:21" x14ac:dyDescent="0.25">
      <c r="A12" s="54">
        <v>2015</v>
      </c>
      <c r="B12" s="54">
        <v>129</v>
      </c>
    </row>
    <row r="13" spans="1:21" x14ac:dyDescent="0.25">
      <c r="A13" s="54">
        <v>2016</v>
      </c>
      <c r="B13" s="54">
        <v>121</v>
      </c>
      <c r="C13" s="54">
        <v>138.63</v>
      </c>
    </row>
    <row r="14" spans="1:21" x14ac:dyDescent="0.25">
      <c r="A14" s="54">
        <v>2017</v>
      </c>
      <c r="B14" s="54">
        <v>114</v>
      </c>
      <c r="C14" s="54">
        <v>134.77000000000001</v>
      </c>
    </row>
    <row r="15" spans="1:21" x14ac:dyDescent="0.25">
      <c r="A15" s="54">
        <v>2018</v>
      </c>
      <c r="B15" s="54">
        <v>108</v>
      </c>
    </row>
    <row r="16" spans="1:21" x14ac:dyDescent="0.25">
      <c r="A16" s="54">
        <v>2019</v>
      </c>
      <c r="B16" s="54">
        <v>103</v>
      </c>
      <c r="U16">
        <f>193.33*EXP(-0.03*2017)</f>
        <v>1.0165766989521209E-24</v>
      </c>
    </row>
    <row r="17" spans="1:22" x14ac:dyDescent="0.25">
      <c r="A17" s="54">
        <v>2020</v>
      </c>
      <c r="B17" s="54">
        <v>99</v>
      </c>
      <c r="C17" s="54">
        <v>123.88</v>
      </c>
      <c r="U17">
        <f>193.33*EXP(-0.03*2020)</f>
        <v>9.290811473924278E-25</v>
      </c>
      <c r="V17">
        <f>(U16-U17)/U16</f>
        <v>8.6068814728768428E-2</v>
      </c>
    </row>
    <row r="18" spans="1:22" x14ac:dyDescent="0.25">
      <c r="A18" s="54">
        <v>2021</v>
      </c>
      <c r="B18" s="54">
        <v>94</v>
      </c>
    </row>
    <row r="19" spans="1:22" x14ac:dyDescent="0.25">
      <c r="A19" s="54">
        <v>2022</v>
      </c>
      <c r="B19" s="54">
        <v>89</v>
      </c>
    </row>
    <row r="20" spans="1:22" x14ac:dyDescent="0.25">
      <c r="A20" s="54">
        <v>2023</v>
      </c>
      <c r="B20" s="54">
        <v>84</v>
      </c>
      <c r="C20" s="54">
        <v>113.33</v>
      </c>
    </row>
    <row r="21" spans="1:22" x14ac:dyDescent="0.25">
      <c r="A21" s="54">
        <v>2024</v>
      </c>
      <c r="B21" s="54">
        <v>79</v>
      </c>
    </row>
    <row r="22" spans="1:22" x14ac:dyDescent="0.25">
      <c r="A22" s="54">
        <v>2025</v>
      </c>
      <c r="B22" s="54">
        <v>74</v>
      </c>
    </row>
    <row r="23" spans="1:22" x14ac:dyDescent="0.25">
      <c r="A23" s="54">
        <v>2026</v>
      </c>
      <c r="B23" s="54">
        <v>69</v>
      </c>
    </row>
    <row r="24" spans="1:22" x14ac:dyDescent="0.25">
      <c r="A24" s="54">
        <v>2027</v>
      </c>
      <c r="B24" s="54">
        <v>65</v>
      </c>
    </row>
    <row r="25" spans="1:22" x14ac:dyDescent="0.25">
      <c r="A25" s="54">
        <v>2028</v>
      </c>
      <c r="B25" s="54">
        <v>61</v>
      </c>
      <c r="C25" s="54">
        <v>97.7</v>
      </c>
    </row>
    <row r="26" spans="1:22" x14ac:dyDescent="0.25">
      <c r="A26" s="54">
        <v>2029</v>
      </c>
      <c r="B26" s="54">
        <v>57</v>
      </c>
    </row>
    <row r="27" spans="1:22" x14ac:dyDescent="0.25">
      <c r="A27" s="54">
        <v>2030</v>
      </c>
      <c r="B27" s="54">
        <v>53</v>
      </c>
    </row>
    <row r="28" spans="1:22" x14ac:dyDescent="0.25">
      <c r="A28" s="54">
        <v>2031</v>
      </c>
      <c r="B28" s="54">
        <v>49</v>
      </c>
    </row>
    <row r="29" spans="1:22" x14ac:dyDescent="0.25">
      <c r="A29" s="54">
        <v>2032</v>
      </c>
      <c r="B29" s="54">
        <v>46</v>
      </c>
    </row>
    <row r="30" spans="1:22" x14ac:dyDescent="0.25">
      <c r="A30" s="54">
        <v>2033</v>
      </c>
      <c r="B30" s="54">
        <v>43</v>
      </c>
    </row>
    <row r="31" spans="1:22" x14ac:dyDescent="0.25">
      <c r="A31" s="54">
        <v>2034</v>
      </c>
      <c r="B31" s="54">
        <v>40</v>
      </c>
    </row>
    <row r="32" spans="1:22" x14ac:dyDescent="0.25">
      <c r="A32" s="54">
        <v>2035</v>
      </c>
      <c r="B32" s="54">
        <v>37</v>
      </c>
    </row>
    <row r="33" spans="1:2" x14ac:dyDescent="0.25">
      <c r="A33" s="54">
        <v>2036</v>
      </c>
      <c r="B33" s="54">
        <v>35</v>
      </c>
    </row>
    <row r="34" spans="1:2" x14ac:dyDescent="0.25">
      <c r="A34" s="54">
        <v>2037</v>
      </c>
      <c r="B34" s="54">
        <v>33</v>
      </c>
    </row>
    <row r="35" spans="1:2" x14ac:dyDescent="0.25">
      <c r="A35" s="54">
        <v>2038</v>
      </c>
      <c r="B35" s="54">
        <v>31</v>
      </c>
    </row>
    <row r="36" spans="1:2" x14ac:dyDescent="0.25">
      <c r="A36" s="54">
        <v>2039</v>
      </c>
      <c r="B36" s="54">
        <v>29</v>
      </c>
    </row>
    <row r="37" spans="1:2" x14ac:dyDescent="0.25">
      <c r="A37" s="54">
        <v>2040</v>
      </c>
      <c r="B37" s="54">
        <v>28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667E0-8598-4199-8424-618AC7E7DDCE}">
  <dimension ref="A1:X37"/>
  <sheetViews>
    <sheetView zoomScale="68" zoomScaleNormal="68" workbookViewId="0">
      <selection activeCell="A2" sqref="A2"/>
    </sheetView>
  </sheetViews>
  <sheetFormatPr defaultRowHeight="15" x14ac:dyDescent="0.25"/>
  <cols>
    <col min="1" max="1" width="9.140625" style="54"/>
    <col min="2" max="2" width="15" style="54" customWidth="1"/>
    <col min="3" max="4" width="15.7109375" style="54" customWidth="1"/>
    <col min="22" max="22" width="12" bestFit="1" customWidth="1"/>
  </cols>
  <sheetData>
    <row r="1" spans="1:10" x14ac:dyDescent="0.25">
      <c r="A1" s="118" t="s">
        <v>152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A2" s="52" t="s">
        <v>116</v>
      </c>
      <c r="B2" s="52" t="s">
        <v>120</v>
      </c>
      <c r="C2" s="52" t="s">
        <v>121</v>
      </c>
      <c r="D2" s="53" t="s">
        <v>119</v>
      </c>
      <c r="E2" s="53"/>
    </row>
    <row r="3" spans="1:10" x14ac:dyDescent="0.25">
      <c r="A3" s="54">
        <v>2006</v>
      </c>
      <c r="B3" s="55">
        <v>6.4</v>
      </c>
    </row>
    <row r="4" spans="1:10" x14ac:dyDescent="0.25">
      <c r="A4" s="54">
        <v>2007</v>
      </c>
      <c r="B4" s="55">
        <v>6.3</v>
      </c>
      <c r="C4" s="54">
        <v>6.13</v>
      </c>
    </row>
    <row r="5" spans="1:10" s="59" customFormat="1" x14ac:dyDescent="0.25">
      <c r="A5" s="56">
        <v>2008</v>
      </c>
      <c r="B5" s="57">
        <v>5.0999999999999996</v>
      </c>
      <c r="C5" s="58"/>
      <c r="D5" s="58"/>
    </row>
    <row r="6" spans="1:10" x14ac:dyDescent="0.25">
      <c r="A6" s="54">
        <v>2009</v>
      </c>
      <c r="B6" s="55">
        <v>4.9000000000000004</v>
      </c>
    </row>
    <row r="7" spans="1:10" x14ac:dyDescent="0.25">
      <c r="A7" s="54">
        <v>2010</v>
      </c>
      <c r="B7" s="55">
        <v>4.7</v>
      </c>
    </row>
    <row r="8" spans="1:10" x14ac:dyDescent="0.25">
      <c r="A8" s="54">
        <v>2011</v>
      </c>
      <c r="B8" s="55">
        <v>4.4000000000000004</v>
      </c>
    </row>
    <row r="9" spans="1:10" x14ac:dyDescent="0.25">
      <c r="A9" s="54">
        <v>2012</v>
      </c>
      <c r="B9" s="55">
        <v>4.0999999999999996</v>
      </c>
    </row>
    <row r="10" spans="1:10" x14ac:dyDescent="0.25">
      <c r="A10" s="54">
        <v>2013</v>
      </c>
      <c r="B10" s="55">
        <v>3.8</v>
      </c>
    </row>
    <row r="11" spans="1:10" s="60" customFormat="1" x14ac:dyDescent="0.25">
      <c r="A11" s="56">
        <v>2014</v>
      </c>
      <c r="B11" s="57">
        <v>3.6</v>
      </c>
      <c r="C11" s="56">
        <v>4.851</v>
      </c>
      <c r="D11" s="56"/>
    </row>
    <row r="12" spans="1:10" x14ac:dyDescent="0.25">
      <c r="A12" s="54">
        <v>2015</v>
      </c>
      <c r="B12" s="55">
        <v>3.4</v>
      </c>
    </row>
    <row r="13" spans="1:10" s="60" customFormat="1" x14ac:dyDescent="0.25">
      <c r="A13" s="56">
        <v>2016</v>
      </c>
      <c r="B13" s="57">
        <v>3.1</v>
      </c>
      <c r="C13" s="56">
        <v>4.117</v>
      </c>
      <c r="D13" s="56"/>
    </row>
    <row r="14" spans="1:10" s="60" customFormat="1" x14ac:dyDescent="0.25">
      <c r="A14" s="56">
        <v>2017</v>
      </c>
      <c r="B14" s="57">
        <v>2.9</v>
      </c>
      <c r="C14" s="56">
        <v>3.944</v>
      </c>
      <c r="D14" s="56"/>
    </row>
    <row r="15" spans="1:10" x14ac:dyDescent="0.25">
      <c r="A15" s="54">
        <v>2018</v>
      </c>
      <c r="B15" s="55">
        <v>2.7</v>
      </c>
    </row>
    <row r="16" spans="1:10" x14ac:dyDescent="0.25">
      <c r="A16" s="54">
        <v>2019</v>
      </c>
      <c r="B16" s="55">
        <v>2.5</v>
      </c>
    </row>
    <row r="17" spans="1:24" x14ac:dyDescent="0.25">
      <c r="A17" s="54">
        <v>2020</v>
      </c>
      <c r="B17" s="55">
        <v>2.2999999999999998</v>
      </c>
      <c r="C17" s="56">
        <v>3.5323099999999998</v>
      </c>
      <c r="D17" s="56"/>
    </row>
    <row r="18" spans="1:24" x14ac:dyDescent="0.25">
      <c r="A18" s="54">
        <v>2021</v>
      </c>
      <c r="B18" s="55">
        <v>2.2000000000000002</v>
      </c>
    </row>
    <row r="19" spans="1:24" x14ac:dyDescent="0.25">
      <c r="A19" s="54">
        <v>2022</v>
      </c>
      <c r="B19" s="55">
        <v>2</v>
      </c>
    </row>
    <row r="20" spans="1:24" x14ac:dyDescent="0.25">
      <c r="A20" s="54">
        <v>2023</v>
      </c>
      <c r="B20" s="55">
        <v>1.9</v>
      </c>
      <c r="C20" s="54">
        <v>3.0998000000000001</v>
      </c>
    </row>
    <row r="21" spans="1:24" x14ac:dyDescent="0.25">
      <c r="A21" s="54">
        <v>2024</v>
      </c>
      <c r="B21" s="55">
        <v>1.7</v>
      </c>
    </row>
    <row r="22" spans="1:24" x14ac:dyDescent="0.25">
      <c r="A22" s="54">
        <v>2025</v>
      </c>
      <c r="B22" s="55">
        <v>1.6</v>
      </c>
    </row>
    <row r="23" spans="1:24" x14ac:dyDescent="0.25">
      <c r="A23" s="54">
        <v>2026</v>
      </c>
      <c r="B23" s="55">
        <v>1.5</v>
      </c>
      <c r="V23">
        <f>6.7868*EXP(-0.044*2017)</f>
        <v>1.9449049032808712E-38</v>
      </c>
    </row>
    <row r="24" spans="1:24" x14ac:dyDescent="0.25">
      <c r="A24" s="54">
        <v>2027</v>
      </c>
      <c r="B24" s="55">
        <v>1.4</v>
      </c>
      <c r="V24">
        <f>6.7868*EXP(-0.044*2020)</f>
        <v>1.7043998982759025E-38</v>
      </c>
      <c r="W24">
        <f>1-V24/V23</f>
        <v>0.12365900492063109</v>
      </c>
      <c r="X24">
        <f>1-W24</f>
        <v>0.87634099507936891</v>
      </c>
    </row>
    <row r="25" spans="1:24" x14ac:dyDescent="0.25">
      <c r="A25" s="54">
        <v>2028</v>
      </c>
      <c r="B25" s="55">
        <v>1.3</v>
      </c>
      <c r="C25" s="54">
        <v>2.4933999999999998</v>
      </c>
    </row>
    <row r="26" spans="1:24" x14ac:dyDescent="0.25">
      <c r="A26" s="54">
        <v>2029</v>
      </c>
      <c r="B26" s="55">
        <v>1.1000000000000001</v>
      </c>
      <c r="V26">
        <f>6.7868*EXP(0.044*3)</f>
        <v>7.7444739412028714</v>
      </c>
    </row>
    <row r="27" spans="1:24" x14ac:dyDescent="0.25">
      <c r="A27" s="54">
        <v>2030</v>
      </c>
      <c r="B27" s="55">
        <v>1</v>
      </c>
    </row>
    <row r="28" spans="1:24" x14ac:dyDescent="0.25">
      <c r="A28" s="54">
        <v>2031</v>
      </c>
      <c r="B28" s="55">
        <v>1</v>
      </c>
    </row>
    <row r="29" spans="1:24" x14ac:dyDescent="0.25">
      <c r="A29" s="54">
        <v>2032</v>
      </c>
      <c r="B29" s="55">
        <v>0.9</v>
      </c>
    </row>
    <row r="30" spans="1:24" x14ac:dyDescent="0.25">
      <c r="A30" s="54">
        <v>2033</v>
      </c>
      <c r="B30" s="55">
        <v>0.8</v>
      </c>
    </row>
    <row r="31" spans="1:24" x14ac:dyDescent="0.25">
      <c r="A31" s="54">
        <v>2034</v>
      </c>
      <c r="B31" s="55">
        <v>0.7</v>
      </c>
    </row>
    <row r="32" spans="1:24" x14ac:dyDescent="0.25">
      <c r="A32" s="54">
        <v>2035</v>
      </c>
      <c r="B32" s="55">
        <v>0.7</v>
      </c>
    </row>
    <row r="33" spans="1:2" x14ac:dyDescent="0.25">
      <c r="A33" s="54">
        <v>2036</v>
      </c>
      <c r="B33" s="55">
        <v>0.6</v>
      </c>
    </row>
    <row r="34" spans="1:2" x14ac:dyDescent="0.25">
      <c r="A34" s="54">
        <v>2037</v>
      </c>
      <c r="B34" s="55">
        <v>0.6</v>
      </c>
    </row>
    <row r="35" spans="1:2" x14ac:dyDescent="0.25">
      <c r="A35" s="54">
        <v>2038</v>
      </c>
      <c r="B35" s="55">
        <v>0.5</v>
      </c>
    </row>
    <row r="36" spans="1:2" x14ac:dyDescent="0.25">
      <c r="A36" s="54">
        <v>2039</v>
      </c>
      <c r="B36" s="55">
        <v>0.5</v>
      </c>
    </row>
    <row r="37" spans="1:2" x14ac:dyDescent="0.25">
      <c r="A37" s="54">
        <v>2040</v>
      </c>
      <c r="B37" s="55">
        <v>0.4</v>
      </c>
    </row>
  </sheetData>
  <mergeCells count="1">
    <mergeCell ref="A1:J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69F3-0C61-4FCA-8ED7-17B8EF04680B}">
  <dimension ref="A1:W37"/>
  <sheetViews>
    <sheetView zoomScale="75" zoomScaleNormal="75" workbookViewId="0">
      <selection activeCell="A2" sqref="A2"/>
    </sheetView>
  </sheetViews>
  <sheetFormatPr defaultRowHeight="15" x14ac:dyDescent="0.25"/>
  <cols>
    <col min="2" max="2" width="14.85546875" customWidth="1"/>
    <col min="3" max="4" width="13.5703125" customWidth="1"/>
    <col min="21" max="21" width="12" bestFit="1" customWidth="1"/>
  </cols>
  <sheetData>
    <row r="1" spans="1:10" x14ac:dyDescent="0.25">
      <c r="A1" s="118" t="s">
        <v>153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x14ac:dyDescent="0.25">
      <c r="A2" s="52" t="s">
        <v>116</v>
      </c>
      <c r="B2" s="52" t="s">
        <v>122</v>
      </c>
      <c r="C2" s="52" t="s">
        <v>123</v>
      </c>
      <c r="D2" s="53" t="s">
        <v>119</v>
      </c>
      <c r="E2" s="53"/>
    </row>
    <row r="3" spans="1:10" x14ac:dyDescent="0.25">
      <c r="A3" s="54">
        <v>2006</v>
      </c>
      <c r="B3" s="55">
        <v>9.5</v>
      </c>
      <c r="C3" s="54"/>
      <c r="D3" s="54"/>
    </row>
    <row r="4" spans="1:10" x14ac:dyDescent="0.25">
      <c r="A4" s="54">
        <v>2007</v>
      </c>
      <c r="B4" s="55">
        <v>9.3000000000000007</v>
      </c>
      <c r="C4" s="54">
        <v>9.1300000000000008</v>
      </c>
      <c r="D4" s="54"/>
    </row>
    <row r="5" spans="1:10" x14ac:dyDescent="0.25">
      <c r="A5" s="56">
        <v>2008</v>
      </c>
      <c r="B5" s="57">
        <v>9</v>
      </c>
      <c r="C5" s="58"/>
      <c r="D5" s="58"/>
      <c r="E5" s="59"/>
    </row>
    <row r="6" spans="1:10" x14ac:dyDescent="0.25">
      <c r="A6" s="54">
        <v>2009</v>
      </c>
      <c r="B6" s="55">
        <v>8.6999999999999993</v>
      </c>
      <c r="C6" s="54"/>
      <c r="D6" s="54"/>
    </row>
    <row r="7" spans="1:10" x14ac:dyDescent="0.25">
      <c r="A7" s="54">
        <v>2010</v>
      </c>
      <c r="B7" s="55">
        <v>8.3000000000000007</v>
      </c>
      <c r="C7" s="54"/>
      <c r="D7" s="54"/>
    </row>
    <row r="8" spans="1:10" x14ac:dyDescent="0.25">
      <c r="A8" s="54">
        <v>2011</v>
      </c>
      <c r="B8" s="55">
        <v>7.7</v>
      </c>
      <c r="C8" s="54"/>
      <c r="D8" s="54"/>
    </row>
    <row r="9" spans="1:10" x14ac:dyDescent="0.25">
      <c r="A9" s="54">
        <v>2012</v>
      </c>
      <c r="B9" s="55">
        <v>7.1</v>
      </c>
      <c r="C9" s="54"/>
      <c r="D9" s="54"/>
    </row>
    <row r="10" spans="1:10" x14ac:dyDescent="0.25">
      <c r="A10" s="54">
        <v>2013</v>
      </c>
      <c r="B10" s="55">
        <v>6.5</v>
      </c>
      <c r="C10" s="54"/>
      <c r="D10" s="54"/>
    </row>
    <row r="11" spans="1:10" s="60" customFormat="1" x14ac:dyDescent="0.25">
      <c r="A11" s="56">
        <v>2014</v>
      </c>
      <c r="B11" s="57">
        <v>6.1</v>
      </c>
      <c r="C11" s="56">
        <v>7.21</v>
      </c>
      <c r="D11" s="56"/>
    </row>
    <row r="12" spans="1:10" x14ac:dyDescent="0.25">
      <c r="A12" s="54">
        <v>2015</v>
      </c>
      <c r="B12" s="55">
        <v>5.7</v>
      </c>
      <c r="C12" s="54"/>
      <c r="D12" s="54"/>
    </row>
    <row r="13" spans="1:10" s="60" customFormat="1" x14ac:dyDescent="0.25">
      <c r="A13" s="56">
        <v>2016</v>
      </c>
      <c r="B13" s="57">
        <v>5.0999999999999996</v>
      </c>
      <c r="C13" s="56">
        <v>6.15</v>
      </c>
      <c r="D13" s="56"/>
    </row>
    <row r="14" spans="1:10" s="60" customFormat="1" x14ac:dyDescent="0.25">
      <c r="A14" s="56">
        <v>2017</v>
      </c>
      <c r="B14" s="57">
        <v>4.5999999999999996</v>
      </c>
      <c r="C14" s="56">
        <v>5.9</v>
      </c>
      <c r="D14" s="56"/>
    </row>
    <row r="15" spans="1:10" x14ac:dyDescent="0.25">
      <c r="A15" s="54">
        <v>2018</v>
      </c>
      <c r="B15" s="55">
        <v>4.2</v>
      </c>
      <c r="C15" s="54"/>
      <c r="D15" s="54"/>
    </row>
    <row r="16" spans="1:10" x14ac:dyDescent="0.25">
      <c r="A16" s="54">
        <v>2019</v>
      </c>
      <c r="B16" s="55">
        <v>3.9</v>
      </c>
      <c r="C16" s="54"/>
      <c r="D16" s="54"/>
    </row>
    <row r="17" spans="1:23" x14ac:dyDescent="0.25">
      <c r="A17" s="54">
        <v>2020</v>
      </c>
      <c r="B17" s="55">
        <v>3.6</v>
      </c>
      <c r="C17" s="54">
        <v>5.28</v>
      </c>
      <c r="D17" s="54"/>
    </row>
    <row r="18" spans="1:23" x14ac:dyDescent="0.25">
      <c r="A18" s="54">
        <v>2021</v>
      </c>
      <c r="B18" s="55">
        <v>3.4</v>
      </c>
      <c r="C18" s="54"/>
      <c r="D18" s="54"/>
    </row>
    <row r="19" spans="1:23" x14ac:dyDescent="0.25">
      <c r="A19" s="54">
        <v>2022</v>
      </c>
      <c r="B19" s="55">
        <v>3.2</v>
      </c>
      <c r="C19" s="54"/>
      <c r="D19" s="54"/>
    </row>
    <row r="20" spans="1:23" x14ac:dyDescent="0.25">
      <c r="A20" s="54">
        <v>2023</v>
      </c>
      <c r="B20" s="55">
        <v>3</v>
      </c>
      <c r="C20" s="54">
        <v>4.6390000000000002</v>
      </c>
      <c r="D20" s="54"/>
    </row>
    <row r="21" spans="1:23" x14ac:dyDescent="0.25">
      <c r="A21" s="54">
        <v>2024</v>
      </c>
      <c r="B21" s="55">
        <v>2.8</v>
      </c>
      <c r="C21" s="54"/>
      <c r="D21" s="54"/>
    </row>
    <row r="22" spans="1:23" x14ac:dyDescent="0.25">
      <c r="A22" s="54">
        <v>2025</v>
      </c>
      <c r="B22" s="55">
        <v>2.6</v>
      </c>
      <c r="C22" s="54"/>
      <c r="D22" s="54"/>
      <c r="U22">
        <f>10.091*EXP(-0.043*2017)</f>
        <v>2.1733991667522293E-37</v>
      </c>
    </row>
    <row r="23" spans="1:23" x14ac:dyDescent="0.25">
      <c r="A23" s="54">
        <v>2026</v>
      </c>
      <c r="B23" s="55">
        <v>2.5</v>
      </c>
      <c r="C23" s="54"/>
      <c r="D23" s="54"/>
      <c r="U23">
        <f>10.091*EXP(-0.043*2020)</f>
        <v>1.910361284313664E-37</v>
      </c>
      <c r="V23">
        <f>1-U23/U22</f>
        <v>0.12102603445442106</v>
      </c>
      <c r="W23">
        <f>1-V23</f>
        <v>0.87897396554557894</v>
      </c>
    </row>
    <row r="24" spans="1:23" x14ac:dyDescent="0.25">
      <c r="A24" s="54">
        <v>2027</v>
      </c>
      <c r="B24" s="55">
        <v>2.2999999999999998</v>
      </c>
      <c r="C24" s="54"/>
      <c r="D24" s="54"/>
      <c r="V24">
        <f>1-V23</f>
        <v>0.87897396554557894</v>
      </c>
    </row>
    <row r="25" spans="1:23" x14ac:dyDescent="0.25">
      <c r="A25" s="54">
        <v>2028</v>
      </c>
      <c r="B25" s="55">
        <v>2.1</v>
      </c>
      <c r="C25" s="54">
        <v>3.738</v>
      </c>
      <c r="D25" s="54"/>
    </row>
    <row r="26" spans="1:23" x14ac:dyDescent="0.25">
      <c r="A26" s="54">
        <v>2029</v>
      </c>
      <c r="B26" s="55">
        <v>2</v>
      </c>
      <c r="C26" s="54"/>
      <c r="D26" s="54"/>
    </row>
    <row r="27" spans="1:23" x14ac:dyDescent="0.25">
      <c r="A27" s="54">
        <v>2030</v>
      </c>
      <c r="B27" s="55">
        <v>1.9</v>
      </c>
      <c r="C27" s="54"/>
      <c r="D27" s="54"/>
    </row>
    <row r="28" spans="1:23" x14ac:dyDescent="0.25">
      <c r="A28" s="54">
        <v>2031</v>
      </c>
      <c r="B28" s="55">
        <v>1.7</v>
      </c>
      <c r="C28" s="54"/>
      <c r="D28" s="54"/>
    </row>
    <row r="29" spans="1:23" x14ac:dyDescent="0.25">
      <c r="A29" s="54">
        <v>2032</v>
      </c>
      <c r="B29" s="55">
        <v>1.6</v>
      </c>
      <c r="C29" s="54"/>
      <c r="D29" s="54"/>
    </row>
    <row r="30" spans="1:23" x14ac:dyDescent="0.25">
      <c r="A30" s="54">
        <v>2033</v>
      </c>
      <c r="B30" s="55">
        <v>1.5</v>
      </c>
      <c r="C30" s="54"/>
      <c r="D30" s="54"/>
    </row>
    <row r="31" spans="1:23" x14ac:dyDescent="0.25">
      <c r="A31" s="54">
        <v>2034</v>
      </c>
      <c r="B31" s="55">
        <v>1.4</v>
      </c>
      <c r="C31" s="54"/>
      <c r="D31" s="54"/>
    </row>
    <row r="32" spans="1:23" x14ac:dyDescent="0.25">
      <c r="A32" s="54">
        <v>2035</v>
      </c>
      <c r="B32" s="55">
        <v>1.3</v>
      </c>
      <c r="C32" s="54"/>
      <c r="D32" s="54"/>
    </row>
    <row r="33" spans="1:4" x14ac:dyDescent="0.25">
      <c r="A33" s="54">
        <v>2036</v>
      </c>
      <c r="B33" s="55">
        <v>1.2</v>
      </c>
      <c r="C33" s="54"/>
      <c r="D33" s="54"/>
    </row>
    <row r="34" spans="1:4" x14ac:dyDescent="0.25">
      <c r="A34" s="54">
        <v>2037</v>
      </c>
      <c r="B34" s="55">
        <v>1.2</v>
      </c>
      <c r="C34" s="54"/>
      <c r="D34" s="54"/>
    </row>
    <row r="35" spans="1:4" x14ac:dyDescent="0.25">
      <c r="A35" s="54">
        <v>2038</v>
      </c>
      <c r="B35" s="55">
        <v>1.1000000000000001</v>
      </c>
      <c r="C35" s="54"/>
      <c r="D35" s="54"/>
    </row>
    <row r="36" spans="1:4" x14ac:dyDescent="0.25">
      <c r="A36" s="54">
        <v>2039</v>
      </c>
      <c r="B36" s="55">
        <v>1.1000000000000001</v>
      </c>
      <c r="C36" s="54"/>
      <c r="D36" s="54"/>
    </row>
    <row r="37" spans="1:4" x14ac:dyDescent="0.25">
      <c r="A37" s="54">
        <v>2040</v>
      </c>
      <c r="B37" s="55">
        <v>1</v>
      </c>
      <c r="C37" s="54"/>
      <c r="D37" s="54"/>
    </row>
  </sheetData>
  <mergeCells count="1">
    <mergeCell ref="A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180E-BD5A-4ABB-ACB8-CB1766E470DD}">
  <dimension ref="A1:I23"/>
  <sheetViews>
    <sheetView workbookViewId="0">
      <selection activeCell="A22" sqref="A22:I22"/>
    </sheetView>
  </sheetViews>
  <sheetFormatPr defaultRowHeight="15" x14ac:dyDescent="0.25"/>
  <cols>
    <col min="2" max="3" width="10" bestFit="1" customWidth="1"/>
    <col min="4" max="4" width="12" bestFit="1" customWidth="1"/>
    <col min="6" max="6" width="12" bestFit="1" customWidth="1"/>
  </cols>
  <sheetData>
    <row r="1" spans="1:9" ht="15.75" thickBot="1" x14ac:dyDescent="0.3">
      <c r="A1" s="122" t="s">
        <v>172</v>
      </c>
      <c r="B1" s="122"/>
      <c r="C1" s="122"/>
      <c r="D1" s="122"/>
      <c r="E1" s="122"/>
      <c r="F1" s="122"/>
      <c r="G1" s="122"/>
      <c r="H1" s="122"/>
      <c r="I1" s="122"/>
    </row>
    <row r="2" spans="1:9" ht="30" x14ac:dyDescent="0.25">
      <c r="A2" s="5"/>
      <c r="B2" s="102">
        <v>2016</v>
      </c>
      <c r="C2" s="101">
        <v>2020</v>
      </c>
      <c r="D2" s="104" t="s">
        <v>164</v>
      </c>
    </row>
    <row r="3" spans="1:9" x14ac:dyDescent="0.25">
      <c r="A3" s="11" t="s">
        <v>154</v>
      </c>
      <c r="B3" s="12">
        <v>404147932</v>
      </c>
      <c r="C3" s="12">
        <v>414730377</v>
      </c>
      <c r="D3" s="14">
        <f>B3+(C3-B3)*1/4</f>
        <v>406793543.25</v>
      </c>
    </row>
    <row r="4" spans="1:9" x14ac:dyDescent="0.25">
      <c r="A4" s="11" t="s">
        <v>155</v>
      </c>
      <c r="B4" s="12">
        <v>437110632</v>
      </c>
      <c r="C4" s="12">
        <v>448556192</v>
      </c>
      <c r="D4" s="14">
        <f>B4+(C4-B4)*1/4</f>
        <v>439972022</v>
      </c>
    </row>
    <row r="5" spans="1:9" x14ac:dyDescent="0.25">
      <c r="A5" s="11"/>
      <c r="B5" s="12"/>
      <c r="C5" s="12">
        <f>SUM(C3:C4)</f>
        <v>863286569</v>
      </c>
      <c r="D5" s="14">
        <f>SUM(D3:D4)</f>
        <v>846765565.25</v>
      </c>
    </row>
    <row r="6" spans="1:9" ht="15.75" thickBot="1" x14ac:dyDescent="0.3">
      <c r="A6" s="16"/>
      <c r="B6" s="17"/>
      <c r="C6" s="17"/>
      <c r="D6" s="19">
        <f>C5/D5</f>
        <v>1.0195107175208789</v>
      </c>
      <c r="E6" t="s">
        <v>156</v>
      </c>
    </row>
    <row r="8" spans="1:9" x14ac:dyDescent="0.25">
      <c r="A8" s="103" t="s">
        <v>159</v>
      </c>
    </row>
    <row r="9" spans="1:9" x14ac:dyDescent="0.25">
      <c r="A9" t="s">
        <v>160</v>
      </c>
    </row>
    <row r="10" spans="1:9" ht="28.5" customHeight="1" x14ac:dyDescent="0.25">
      <c r="A10" s="120" t="s">
        <v>162</v>
      </c>
      <c r="B10" s="120"/>
      <c r="C10" s="120"/>
      <c r="D10" s="120"/>
      <c r="E10" s="120"/>
      <c r="F10" s="120"/>
      <c r="G10" s="120"/>
      <c r="H10" s="120"/>
      <c r="I10" s="120"/>
    </row>
    <row r="11" spans="1:9" ht="32.25" customHeight="1" x14ac:dyDescent="0.25">
      <c r="A11" s="120" t="s">
        <v>163</v>
      </c>
      <c r="B11" s="120"/>
      <c r="C11" s="120"/>
      <c r="D11" s="120"/>
      <c r="E11" s="120"/>
      <c r="F11" s="120"/>
      <c r="G11" s="120"/>
      <c r="H11" s="120"/>
      <c r="I11" s="120"/>
    </row>
    <row r="12" spans="1:9" ht="32.25" customHeight="1" x14ac:dyDescent="0.25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9" ht="19.5" customHeight="1" thickBot="1" x14ac:dyDescent="0.3">
      <c r="A13" s="121" t="s">
        <v>173</v>
      </c>
      <c r="B13" s="121"/>
      <c r="C13" s="121"/>
      <c r="D13" s="121"/>
      <c r="E13" s="105"/>
      <c r="F13" s="105"/>
      <c r="G13" s="105"/>
      <c r="H13" s="105"/>
      <c r="I13" s="105"/>
    </row>
    <row r="14" spans="1:9" ht="18" thickBot="1" x14ac:dyDescent="0.3">
      <c r="A14" s="108" t="s">
        <v>157</v>
      </c>
      <c r="B14" s="107"/>
      <c r="C14" s="23"/>
      <c r="D14" s="106">
        <v>1.0338579999999999</v>
      </c>
    </row>
    <row r="15" spans="1:9" ht="29.25" customHeight="1" x14ac:dyDescent="0.25">
      <c r="A15" s="120" t="s">
        <v>165</v>
      </c>
      <c r="B15" s="120"/>
      <c r="C15" s="120"/>
      <c r="D15" s="120"/>
      <c r="E15" s="120"/>
      <c r="F15" s="120"/>
      <c r="G15" s="120"/>
      <c r="H15" s="120"/>
      <c r="I15" s="120"/>
    </row>
    <row r="17" spans="1:9" ht="30" customHeight="1" thickBot="1" x14ac:dyDescent="0.3">
      <c r="A17" s="122" t="s">
        <v>174</v>
      </c>
      <c r="B17" s="120"/>
      <c r="C17" s="120"/>
      <c r="D17" s="120"/>
      <c r="E17" s="120"/>
      <c r="F17" s="120"/>
      <c r="G17" s="120"/>
      <c r="H17" s="120"/>
    </row>
    <row r="18" spans="1:9" x14ac:dyDescent="0.25">
      <c r="A18" s="96"/>
      <c r="B18" s="97">
        <v>2017</v>
      </c>
      <c r="C18" s="97">
        <v>2020</v>
      </c>
      <c r="D18" s="98" t="s">
        <v>161</v>
      </c>
    </row>
    <row r="19" spans="1:9" x14ac:dyDescent="0.25">
      <c r="A19" s="99" t="s">
        <v>158</v>
      </c>
      <c r="B19" s="12">
        <v>134.77000000000001</v>
      </c>
      <c r="C19" s="12">
        <v>123.88</v>
      </c>
      <c r="D19" s="14">
        <f>1-C19/B19</f>
        <v>8.0804333308599929E-2</v>
      </c>
    </row>
    <row r="20" spans="1:9" x14ac:dyDescent="0.25">
      <c r="A20" s="99" t="s">
        <v>124</v>
      </c>
      <c r="B20" s="12">
        <v>3.944</v>
      </c>
      <c r="C20" s="12">
        <v>3.5323099999999998</v>
      </c>
      <c r="D20" s="14">
        <f>1-C20/B20</f>
        <v>0.10438387423935092</v>
      </c>
    </row>
    <row r="21" spans="1:9" ht="15.75" thickBot="1" x14ac:dyDescent="0.3">
      <c r="A21" s="100" t="s">
        <v>125</v>
      </c>
      <c r="B21" s="17">
        <v>5.9</v>
      </c>
      <c r="C21" s="17">
        <v>5.28</v>
      </c>
      <c r="D21" s="19">
        <f>1-C21/B21</f>
        <v>0.10508474576271187</v>
      </c>
    </row>
    <row r="22" spans="1:9" ht="29.25" customHeight="1" x14ac:dyDescent="0.25">
      <c r="A22" s="120" t="s">
        <v>167</v>
      </c>
      <c r="B22" s="120"/>
      <c r="C22" s="120"/>
      <c r="D22" s="120"/>
      <c r="E22" s="120"/>
      <c r="F22" s="120"/>
      <c r="G22" s="120"/>
      <c r="H22" s="120"/>
      <c r="I22" s="120"/>
    </row>
    <row r="23" spans="1:9" x14ac:dyDescent="0.25">
      <c r="A23" s="109" t="s">
        <v>166</v>
      </c>
    </row>
  </sheetData>
  <mergeCells count="7">
    <mergeCell ref="A22:I22"/>
    <mergeCell ref="A13:D13"/>
    <mergeCell ref="A1:I1"/>
    <mergeCell ref="A10:I10"/>
    <mergeCell ref="A11:I11"/>
    <mergeCell ref="A17:H17"/>
    <mergeCell ref="A15:I15"/>
  </mergeCells>
  <hyperlinks>
    <hyperlink ref="A8" r:id="rId1" display="http://www.stb.dot.gov/stb/industry/econ_reports.html" xr:uid="{C6244531-BEE3-4190-B3BF-891B9D262B4C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2768-844D-47B2-8B52-046E603F8E61}">
  <dimension ref="A1"/>
  <sheetViews>
    <sheetView workbookViewId="0">
      <selection activeCell="R6" sqref="R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2BE10-1B92-4947-B402-BF5ACEE1B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548F3C-F9C7-4629-9EFC-7A7BC01D4338}">
  <ds:schemaRefs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a58463bb-4de0-41ad-8455-50b19833fd2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B88E2D5-9EA9-4D1E-B9F2-3B87434BC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Title</vt:lpstr>
      <vt:lpstr>2020 RAIL CTY NAA TPY TPD</vt:lpstr>
      <vt:lpstr>2020 NEI COMPILE 2017-20 CTYSCC</vt:lpstr>
      <vt:lpstr> NOx CF</vt:lpstr>
      <vt:lpstr> PM CF</vt:lpstr>
      <vt:lpstr> HC CF</vt:lpstr>
      <vt:lpstr>Growth &amp; Control Summary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Koroniades, Jim</dc:creator>
  <cp:lastModifiedBy>Marcus</cp:lastModifiedBy>
  <cp:lastPrinted>2020-09-22T19:58:16Z</cp:lastPrinted>
  <dcterms:created xsi:type="dcterms:W3CDTF">2019-12-11T20:17:14Z</dcterms:created>
  <dcterms:modified xsi:type="dcterms:W3CDTF">2021-04-14T11:06:56Z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1d7f51b8-6f46-4621-bf64-f564fed6b4f6</vt:lpwstr>
  </property>
  <property fmtid="{D5CDD505-2E9C-101B-9397-08002B2CF9AE}" pid="3" name="ContentTypeId">
    <vt:lpwstr>0x01010077F79FCDD587B5458B1A2D37B3523A6B</vt:lpwstr>
  </property>
</Properties>
</file>